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995" windowWidth="11580" windowHeight="363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  <definedName name="_xlnm.Print_Area" localSheetId="0">'аналіз фінансування'!$A$1:$I$154</definedName>
  </definedNames>
  <calcPr fullCalcOnLoad="1"/>
</workbook>
</file>

<file path=xl/sharedStrings.xml><?xml version="1.0" encoding="utf-8"?>
<sst xmlns="http://schemas.openxmlformats.org/spreadsheetml/2006/main" count="159" uniqueCount="113">
  <si>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</si>
  <si>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</si>
  <si>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</si>
  <si>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</si>
  <si>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</si>
  <si>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</si>
  <si>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</si>
  <si>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</si>
  <si>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</si>
  <si>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</si>
  <si>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</si>
  <si>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</si>
  <si>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</si>
  <si>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</si>
  <si>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</si>
  <si>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</si>
  <si>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</si>
  <si>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</si>
  <si>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</si>
  <si>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</si>
  <si>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</si>
  <si>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</si>
  <si>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</si>
  <si>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</si>
  <si>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</si>
  <si>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</si>
  <si>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</si>
  <si>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Обслуговування боргу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</si>
  <si>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</si>
  <si>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</si>
  <si>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</si>
  <si>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</si>
  <si>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</si>
  <si>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</si>
  <si>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</si>
  <si>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</si>
  <si>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</si>
  <si>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</si>
  <si>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</si>
  <si>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</si>
  <si>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</si>
  <si>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</si>
  <si>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</si>
  <si>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</si>
  <si>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</si>
  <si>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</si>
  <si>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</si>
  <si>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</si>
  <si>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</si>
  <si>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</si>
  <si>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</si>
  <si>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</si>
  <si>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</si>
  <si>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</si>
  <si>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</si>
  <si>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</si>
  <si>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Міськ.прогр.заходів щодо розроблення стратегічного плану розвитку територіальної громади</t>
  </si>
  <si>
    <t>Соснівський район</t>
  </si>
  <si>
    <t>Придніпровський район</t>
  </si>
  <si>
    <t>Міськ. прогр. розвитку туризму</t>
  </si>
  <si>
    <t>Програма розвитку дизайну міського середовища та зовнішньої реклами</t>
  </si>
  <si>
    <t>Програма сприяння розвитку підприємництва</t>
  </si>
  <si>
    <t>Проведення виборів (250203)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</si>
  <si>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</si>
  <si>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</si>
  <si>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</si>
  <si>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</si>
  <si>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</si>
  <si>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</si>
  <si>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</si>
  <si>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</si>
  <si>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</si>
  <si>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</si>
  <si>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Програма забезпечення орендованим житлом в м.Черкаси молодих спеціалістів - випускників вищих навчальних закладів охорони здоров'я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</si>
  <si>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</si>
  <si>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</si>
  <si>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</si>
  <si>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(061007)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</si>
  <si>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</si>
  <si>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</si>
  <si>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</si>
  <si>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</si>
  <si>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</si>
  <si>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</si>
  <si>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</si>
  <si>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</si>
  <si>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</si>
  <si>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</si>
  <si>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</si>
  <si>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</si>
  <si>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</si>
  <si>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</si>
  <si>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</si>
  <si>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</si>
  <si>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</si>
  <si>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</si>
  <si>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</si>
  <si>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</si>
  <si>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</si>
  <si>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</si>
  <si>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</si>
  <si>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Програма розвитку персоналу</t>
  </si>
  <si>
    <t>план на рік, тис.грн.</t>
  </si>
  <si>
    <t>Відсоток виконання річного плану</t>
  </si>
  <si>
    <t>Відхилення від річного плану, тис.грн.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</si>
  <si>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</si>
  <si>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</si>
  <si>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</si>
  <si>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</si>
  <si>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план 9 місяців, тис.грн.</t>
  </si>
  <si>
    <t>Відсоток виконання плану 9 місяців</t>
  </si>
  <si>
    <t>Відхилення від плану 9 місяців, тис.грн.</t>
  </si>
  <si>
    <t>Аналіз використання коштів міського бюджету за 2014 рік станом на 26.09.2014 року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</si>
</sst>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#,##0.0"/>
    <numFmt numFmtId="175" formatCode="#,##0.00000"/>
  </numFmts>
  <fonts count="60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b/>
      <sz val="14"/>
      <color indexed="9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4.2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sz val="14.7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38" fillId="7" borderId="1" applyNumberFormat="0" applyAlignment="0" applyProtection="0"/>
    <xf numFmtId="0" fontId="39" fillId="20" borderId="2" applyNumberFormat="0" applyAlignment="0" applyProtection="0"/>
    <xf numFmtId="0" fontId="4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1" borderId="7" applyNumberFormat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2" fillId="0" borderId="0">
      <alignment/>
      <protection/>
    </xf>
    <xf numFmtId="0" fontId="48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4" borderId="0" applyNumberFormat="0" applyBorder="0" applyAlignment="0" applyProtection="0"/>
  </cellStyleXfs>
  <cellXfs count="125">
    <xf numFmtId="0" fontId="0" fillId="0" borderId="0" xfId="0" applyAlignment="1">
      <alignment/>
    </xf>
    <xf numFmtId="173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3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73" fontId="6" fillId="0" borderId="0" xfId="0" applyNumberFormat="1" applyFont="1" applyAlignment="1">
      <alignment/>
    </xf>
    <xf numFmtId="173" fontId="4" fillId="0" borderId="10" xfId="0" applyNumberFormat="1" applyFont="1" applyFill="1" applyBorder="1" applyAlignment="1">
      <alignment/>
    </xf>
    <xf numFmtId="173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73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73" fontId="4" fillId="0" borderId="15" xfId="0" applyNumberFormat="1" applyFont="1" applyFill="1" applyBorder="1" applyAlignment="1">
      <alignment/>
    </xf>
    <xf numFmtId="173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3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73" fontId="5" fillId="0" borderId="16" xfId="0" applyNumberFormat="1" applyFont="1" applyFill="1" applyBorder="1" applyAlignment="1">
      <alignment/>
    </xf>
    <xf numFmtId="173" fontId="5" fillId="24" borderId="11" xfId="0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7" xfId="0" applyFont="1" applyFill="1" applyBorder="1" applyAlignment="1">
      <alignment wrapText="1"/>
    </xf>
    <xf numFmtId="0" fontId="5" fillId="24" borderId="17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73" fontId="3" fillId="0" borderId="10" xfId="0" applyNumberFormat="1" applyFont="1" applyFill="1" applyBorder="1" applyAlignment="1">
      <alignment horizontal="center"/>
    </xf>
    <xf numFmtId="173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73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173" fontId="5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wrapText="1"/>
    </xf>
    <xf numFmtId="174" fontId="3" fillId="0" borderId="12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4" fillId="24" borderId="13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/>
    </xf>
    <xf numFmtId="174" fontId="4" fillId="24" borderId="11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 horizontal="right"/>
    </xf>
    <xf numFmtId="174" fontId="4" fillId="24" borderId="11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wrapText="1"/>
    </xf>
    <xf numFmtId="174" fontId="5" fillId="0" borderId="12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 wrapText="1"/>
    </xf>
    <xf numFmtId="174" fontId="5" fillId="0" borderId="13" xfId="0" applyNumberFormat="1" applyFont="1" applyFill="1" applyBorder="1" applyAlignment="1">
      <alignment wrapText="1"/>
    </xf>
    <xf numFmtId="174" fontId="4" fillId="0" borderId="13" xfId="0" applyNumberFormat="1" applyFont="1" applyFill="1" applyBorder="1" applyAlignment="1">
      <alignment/>
    </xf>
    <xf numFmtId="174" fontId="4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horizontal="left" wrapText="1"/>
    </xf>
    <xf numFmtId="174" fontId="4" fillId="0" borderId="12" xfId="0" applyNumberFormat="1" applyFont="1" applyFill="1" applyBorder="1" applyAlignment="1">
      <alignment/>
    </xf>
    <xf numFmtId="174" fontId="4" fillId="0" borderId="10" xfId="0" applyNumberFormat="1" applyFont="1" applyFill="1" applyBorder="1" applyAlignment="1">
      <alignment/>
    </xf>
    <xf numFmtId="174" fontId="5" fillId="0" borderId="13" xfId="0" applyNumberFormat="1" applyFont="1" applyFill="1" applyBorder="1" applyAlignment="1">
      <alignment/>
    </xf>
    <xf numFmtId="174" fontId="5" fillId="0" borderId="11" xfId="0" applyNumberFormat="1" applyFont="1" applyFill="1" applyBorder="1" applyAlignment="1">
      <alignment/>
    </xf>
    <xf numFmtId="174" fontId="7" fillId="0" borderId="12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 horizontal="right"/>
    </xf>
    <xf numFmtId="174" fontId="5" fillId="0" borderId="17" xfId="0" applyNumberFormat="1" applyFont="1" applyFill="1" applyBorder="1" applyAlignment="1">
      <alignment wrapText="1"/>
    </xf>
    <xf numFmtId="174" fontId="4" fillId="0" borderId="17" xfId="0" applyNumberFormat="1" applyFont="1" applyFill="1" applyBorder="1" applyAlignment="1">
      <alignment/>
    </xf>
    <xf numFmtId="174" fontId="4" fillId="0" borderId="14" xfId="0" applyNumberFormat="1" applyFont="1" applyFill="1" applyBorder="1" applyAlignment="1">
      <alignment/>
    </xf>
    <xf numFmtId="174" fontId="5" fillId="24" borderId="17" xfId="0" applyNumberFormat="1" applyFont="1" applyFill="1" applyBorder="1" applyAlignment="1">
      <alignment wrapText="1"/>
    </xf>
    <xf numFmtId="174" fontId="4" fillId="24" borderId="17" xfId="0" applyNumberFormat="1" applyFont="1" applyFill="1" applyBorder="1" applyAlignment="1">
      <alignment/>
    </xf>
    <xf numFmtId="174" fontId="4" fillId="24" borderId="14" xfId="0" applyNumberFormat="1" applyFont="1" applyFill="1" applyBorder="1" applyAlignment="1">
      <alignment/>
    </xf>
    <xf numFmtId="174" fontId="5" fillId="0" borderId="14" xfId="0" applyNumberFormat="1" applyFont="1" applyFill="1" applyBorder="1" applyAlignment="1">
      <alignment wrapText="1"/>
    </xf>
    <xf numFmtId="174" fontId="4" fillId="0" borderId="15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 wrapText="1"/>
    </xf>
    <xf numFmtId="174" fontId="3" fillId="0" borderId="10" xfId="0" applyNumberFormat="1" applyFont="1" applyFill="1" applyBorder="1" applyAlignment="1">
      <alignment wrapText="1"/>
    </xf>
    <xf numFmtId="174" fontId="3" fillId="0" borderId="15" xfId="0" applyNumberFormat="1" applyFont="1" applyFill="1" applyBorder="1" applyAlignment="1">
      <alignment/>
    </xf>
    <xf numFmtId="174" fontId="5" fillId="0" borderId="15" xfId="0" applyNumberFormat="1" applyFont="1" applyFill="1" applyBorder="1" applyAlignment="1">
      <alignment/>
    </xf>
    <xf numFmtId="174" fontId="5" fillId="0" borderId="16" xfId="0" applyNumberFormat="1" applyFont="1" applyFill="1" applyBorder="1" applyAlignment="1">
      <alignment/>
    </xf>
    <xf numFmtId="174" fontId="0" fillId="0" borderId="13" xfId="0" applyNumberFormat="1" applyFont="1" applyFill="1" applyBorder="1" applyAlignment="1">
      <alignment wrapText="1"/>
    </xf>
    <xf numFmtId="174" fontId="0" fillId="0" borderId="11" xfId="0" applyNumberFormat="1" applyFont="1" applyFill="1" applyBorder="1" applyAlignment="1">
      <alignment/>
    </xf>
    <xf numFmtId="174" fontId="4" fillId="0" borderId="17" xfId="0" applyNumberFormat="1" applyFont="1" applyFill="1" applyBorder="1" applyAlignment="1">
      <alignment wrapText="1"/>
    </xf>
    <xf numFmtId="174" fontId="4" fillId="0" borderId="12" xfId="0" applyNumberFormat="1" applyFont="1" applyFill="1" applyBorder="1" applyAlignment="1">
      <alignment wrapText="1"/>
    </xf>
    <xf numFmtId="174" fontId="4" fillId="0" borderId="18" xfId="0" applyNumberFormat="1" applyFont="1" applyFill="1" applyBorder="1" applyAlignment="1">
      <alignment/>
    </xf>
    <xf numFmtId="174" fontId="5" fillId="24" borderId="11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left" wrapText="1"/>
    </xf>
    <xf numFmtId="0" fontId="5" fillId="24" borderId="16" xfId="0" applyFont="1" applyFill="1" applyBorder="1" applyAlignment="1">
      <alignment wrapText="1"/>
    </xf>
    <xf numFmtId="174" fontId="4" fillId="24" borderId="16" xfId="0" applyNumberFormat="1" applyFont="1" applyFill="1" applyBorder="1" applyAlignment="1">
      <alignment/>
    </xf>
    <xf numFmtId="173" fontId="4" fillId="24" borderId="16" xfId="0" applyNumberFormat="1" applyFont="1" applyFill="1" applyBorder="1" applyAlignment="1">
      <alignment/>
    </xf>
    <xf numFmtId="173" fontId="3" fillId="0" borderId="14" xfId="0" applyNumberFormat="1" applyFont="1" applyFill="1" applyBorder="1" applyAlignment="1">
      <alignment/>
    </xf>
    <xf numFmtId="173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74" fontId="3" fillId="0" borderId="14" xfId="0" applyNumberFormat="1" applyFont="1" applyFill="1" applyBorder="1" applyAlignment="1">
      <alignment/>
    </xf>
    <xf numFmtId="174" fontId="3" fillId="0" borderId="16" xfId="0" applyNumberFormat="1" applyFont="1" applyFill="1" applyBorder="1" applyAlignment="1">
      <alignment wrapText="1"/>
    </xf>
    <xf numFmtId="174" fontId="3" fillId="0" borderId="14" xfId="0" applyNumberFormat="1" applyFont="1" applyFill="1" applyBorder="1" applyAlignment="1">
      <alignment wrapText="1"/>
    </xf>
    <xf numFmtId="172" fontId="0" fillId="0" borderId="0" xfId="0" applyNumberFormat="1" applyFont="1" applyFill="1" applyBorder="1" applyAlignment="1">
      <alignment/>
    </xf>
    <xf numFmtId="175" fontId="12" fillId="0" borderId="0" xfId="0" applyNumberFormat="1" applyFont="1" applyFill="1" applyBorder="1" applyAlignment="1">
      <alignment/>
    </xf>
    <xf numFmtId="0" fontId="0" fillId="17" borderId="0" xfId="0" applyFont="1" applyFill="1" applyAlignment="1">
      <alignment/>
    </xf>
    <xf numFmtId="174" fontId="5" fillId="24" borderId="13" xfId="0" applyNumberFormat="1" applyFont="1" applyFill="1" applyBorder="1" applyAlignment="1">
      <alignment/>
    </xf>
    <xf numFmtId="173" fontId="3" fillId="0" borderId="10" xfId="0" applyNumberFormat="1" applyFont="1" applyFill="1" applyBorder="1" applyAlignment="1">
      <alignment horizontal="right"/>
    </xf>
    <xf numFmtId="174" fontId="13" fillId="0" borderId="12" xfId="0" applyNumberFormat="1" applyFont="1" applyFill="1" applyBorder="1" applyAlignment="1">
      <alignment/>
    </xf>
    <xf numFmtId="173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74" fontId="13" fillId="0" borderId="12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 vertical="center" wrapText="1"/>
    </xf>
    <xf numFmtId="173" fontId="14" fillId="24" borderId="11" xfId="0" applyNumberFormat="1" applyFont="1" applyFill="1" applyBorder="1" applyAlignment="1">
      <alignment/>
    </xf>
    <xf numFmtId="173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74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"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12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505"/>
          <c:w val="0.85825"/>
          <c:h val="0.6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фінансування'!$A$87:$A$91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фінансування'!$C$87:$C$91</c:f>
              <c:numCache>
                <c:ptCount val="4"/>
                <c:pt idx="0">
                  <c:v>44963</c:v>
                </c:pt>
                <c:pt idx="1">
                  <c:v>38012.3</c:v>
                </c:pt>
                <c:pt idx="2">
                  <c:v>1917.6</c:v>
                </c:pt>
                <c:pt idx="3">
                  <c:v>5033.099999999997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фінансування'!$A$87:$A$91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фінансування'!$D$87:$D$91</c:f>
              <c:numCache>
                <c:ptCount val="4"/>
                <c:pt idx="0">
                  <c:v>29313.80000000001</c:v>
                </c:pt>
                <c:pt idx="1">
                  <c:v>25149.800000000003</c:v>
                </c:pt>
                <c:pt idx="2">
                  <c:v>1098.4</c:v>
                </c:pt>
                <c:pt idx="3">
                  <c:v>3065.600000000007</c:v>
                </c:pt>
              </c:numCache>
            </c:numRef>
          </c:val>
          <c:shape val="box"/>
        </c:ser>
        <c:shape val="box"/>
        <c:axId val="592315"/>
        <c:axId val="5330836"/>
      </c:bar3DChart>
      <c:catAx>
        <c:axId val="5923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330836"/>
        <c:crosses val="autoZero"/>
        <c:auto val="1"/>
        <c:lblOffset val="100"/>
        <c:tickLblSkip val="1"/>
        <c:noMultiLvlLbl val="0"/>
      </c:catAx>
      <c:valAx>
        <c:axId val="53308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231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5775"/>
          <c:w val="0.84375"/>
          <c:h val="0.65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фінансування'!$A$6:$A$12</c:f>
              <c:strCache>
                <c:ptCount val="7"/>
                <c:pt idx="0">
                  <c:v>Освіта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фінансування'!$C$6:$C$12</c:f>
              <c:numCache>
                <c:ptCount val="7"/>
                <c:pt idx="0">
                  <c:v>274405.7</c:v>
                </c:pt>
                <c:pt idx="1">
                  <c:v>215280.1</c:v>
                </c:pt>
                <c:pt idx="2">
                  <c:v>44.6</c:v>
                </c:pt>
                <c:pt idx="3">
                  <c:v>17103.7</c:v>
                </c:pt>
                <c:pt idx="4">
                  <c:v>39445.5</c:v>
                </c:pt>
                <c:pt idx="5">
                  <c:v>250.10000000000002</c:v>
                </c:pt>
                <c:pt idx="6">
                  <c:v>2281.700000000003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фінансування'!$A$6:$A$12</c:f>
              <c:strCache>
                <c:ptCount val="7"/>
                <c:pt idx="0">
                  <c:v>Освіта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фінансування'!$D$6:$D$12</c:f>
              <c:numCache>
                <c:ptCount val="7"/>
                <c:pt idx="0">
                  <c:v>187653.51000000004</c:v>
                </c:pt>
                <c:pt idx="1">
                  <c:v>154939.89999999994</c:v>
                </c:pt>
                <c:pt idx="2">
                  <c:v>11.8</c:v>
                </c:pt>
                <c:pt idx="3">
                  <c:v>10235.700000000003</c:v>
                </c:pt>
                <c:pt idx="4">
                  <c:v>21244.7</c:v>
                </c:pt>
                <c:pt idx="5">
                  <c:v>186.8</c:v>
                </c:pt>
                <c:pt idx="6">
                  <c:v>1034.6100000001018</c:v>
                </c:pt>
              </c:numCache>
            </c:numRef>
          </c:val>
          <c:shape val="box"/>
        </c:ser>
        <c:shape val="box"/>
        <c:axId val="47977525"/>
        <c:axId val="29144542"/>
      </c:bar3DChart>
      <c:catAx>
        <c:axId val="479775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144542"/>
        <c:crosses val="autoZero"/>
        <c:auto val="1"/>
        <c:lblOffset val="100"/>
        <c:tickLblSkip val="1"/>
        <c:noMultiLvlLbl val="0"/>
      </c:catAx>
      <c:valAx>
        <c:axId val="2914454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97752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95"/>
          <c:y val="0.15625"/>
          <c:w val="0.8405"/>
          <c:h val="0.658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фінансування'!$A$17:$A$23</c:f>
              <c:strCache>
                <c:ptCount val="7"/>
                <c:pt idx="0">
                  <c:v>Охорона здоров'я</c:v>
                </c:pt>
                <c:pt idx="1">
                  <c:v>Заробітна плата 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фінансування'!$C$17:$C$23</c:f>
              <c:numCache>
                <c:ptCount val="7"/>
                <c:pt idx="0">
                  <c:v>177767.7</c:v>
                </c:pt>
                <c:pt idx="1">
                  <c:v>133403.5</c:v>
                </c:pt>
                <c:pt idx="2">
                  <c:v>7818.6</c:v>
                </c:pt>
                <c:pt idx="3">
                  <c:v>2836.6</c:v>
                </c:pt>
                <c:pt idx="4">
                  <c:v>19353.6</c:v>
                </c:pt>
                <c:pt idx="5">
                  <c:v>1384.5</c:v>
                </c:pt>
                <c:pt idx="6">
                  <c:v>12970.900000000016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фінансування'!$A$17:$A$23</c:f>
              <c:strCache>
                <c:ptCount val="7"/>
                <c:pt idx="0">
                  <c:v>Охорона здоров'я</c:v>
                </c:pt>
                <c:pt idx="1">
                  <c:v>Заробітна плата 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фінансування'!$D$17:$D$23</c:f>
              <c:numCache>
                <c:ptCount val="7"/>
                <c:pt idx="0">
                  <c:v>129603.30000000002</c:v>
                </c:pt>
                <c:pt idx="1">
                  <c:v>105100.09999999999</c:v>
                </c:pt>
                <c:pt idx="2">
                  <c:v>2823.5</c:v>
                </c:pt>
                <c:pt idx="3">
                  <c:v>1880.8999999999999</c:v>
                </c:pt>
                <c:pt idx="4">
                  <c:v>10475.199999999997</c:v>
                </c:pt>
                <c:pt idx="5">
                  <c:v>941.8000000000001</c:v>
                </c:pt>
                <c:pt idx="6">
                  <c:v>8381.800000000028</c:v>
                </c:pt>
              </c:numCache>
            </c:numRef>
          </c:val>
          <c:shape val="box"/>
        </c:ser>
        <c:shape val="box"/>
        <c:axId val="60974287"/>
        <c:axId val="11897672"/>
      </c:bar3DChart>
      <c:catAx>
        <c:axId val="609742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1897672"/>
        <c:crosses val="autoZero"/>
        <c:auto val="1"/>
        <c:lblOffset val="100"/>
        <c:tickLblSkip val="1"/>
        <c:noMultiLvlLbl val="0"/>
      </c:catAx>
      <c:valAx>
        <c:axId val="118976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97428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9"/>
          <c:y val="0.9215"/>
          <c:w val="0.302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9"/>
          <c:y val="0.15475"/>
          <c:w val="0.8625"/>
          <c:h val="0.59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фінансування'!$A$31:$A$37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фінансування'!$C$31:$C$37</c:f>
              <c:numCache>
                <c:ptCount val="6"/>
                <c:pt idx="0">
                  <c:v>37478.3</c:v>
                </c:pt>
                <c:pt idx="1">
                  <c:v>28215</c:v>
                </c:pt>
                <c:pt idx="2">
                  <c:v>1733.2</c:v>
                </c:pt>
                <c:pt idx="3">
                  <c:v>715.3</c:v>
                </c:pt>
                <c:pt idx="4">
                  <c:v>25.200000000000003</c:v>
                </c:pt>
                <c:pt idx="5">
                  <c:v>6789.600000000003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фінансування'!$A$31:$A$37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фінансування'!$D$31:$D$37</c:f>
              <c:numCache>
                <c:ptCount val="6"/>
                <c:pt idx="0">
                  <c:v>24818.599999999995</c:v>
                </c:pt>
                <c:pt idx="1">
                  <c:v>18862.2</c:v>
                </c:pt>
                <c:pt idx="2">
                  <c:v>705.1999999999998</c:v>
                </c:pt>
                <c:pt idx="3">
                  <c:v>297.09999999999997</c:v>
                </c:pt>
                <c:pt idx="4">
                  <c:v>18</c:v>
                </c:pt>
                <c:pt idx="5">
                  <c:v>4936.099999999994</c:v>
                </c:pt>
              </c:numCache>
            </c:numRef>
          </c:val>
          <c:shape val="box"/>
        </c:ser>
        <c:shape val="box"/>
        <c:axId val="39970185"/>
        <c:axId val="24187346"/>
      </c:bar3DChart>
      <c:catAx>
        <c:axId val="399701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4187346"/>
        <c:crosses val="autoZero"/>
        <c:auto val="1"/>
        <c:lblOffset val="100"/>
        <c:tickLblSkip val="1"/>
        <c:noMultiLvlLbl val="0"/>
      </c:catAx>
      <c:valAx>
        <c:axId val="241873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97018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75"/>
          <c:y val="0.92075"/>
          <c:w val="0.29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55"/>
          <c:w val="0.86375"/>
          <c:h val="0.63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фінансування'!$A$49:$A$54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фінансування'!$C$49:$C$54</c:f>
              <c:numCache>
                <c:ptCount val="6"/>
                <c:pt idx="0">
                  <c:v>12140.199999999999</c:v>
                </c:pt>
                <c:pt idx="1">
                  <c:v>7492.1</c:v>
                </c:pt>
                <c:pt idx="2">
                  <c:v>9.7</c:v>
                </c:pt>
                <c:pt idx="3">
                  <c:v>325</c:v>
                </c:pt>
                <c:pt idx="4">
                  <c:v>531.1</c:v>
                </c:pt>
                <c:pt idx="5">
                  <c:v>3782.2999999999984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фінансування'!$A$49:$A$54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фінансування'!$D$49:$D$54</c:f>
              <c:numCache>
                <c:ptCount val="6"/>
                <c:pt idx="0">
                  <c:v>7688.699999999999</c:v>
                </c:pt>
                <c:pt idx="1">
                  <c:v>5006.099999999999</c:v>
                </c:pt>
                <c:pt idx="3">
                  <c:v>108.70000000000002</c:v>
                </c:pt>
                <c:pt idx="4">
                  <c:v>235.89999999999992</c:v>
                </c:pt>
                <c:pt idx="5">
                  <c:v>2337.9999999999995</c:v>
                </c:pt>
              </c:numCache>
            </c:numRef>
          </c:val>
          <c:shape val="box"/>
        </c:ser>
        <c:shape val="box"/>
        <c:axId val="16359523"/>
        <c:axId val="13017980"/>
      </c:bar3DChart>
      <c:catAx>
        <c:axId val="163595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3017980"/>
        <c:crosses val="autoZero"/>
        <c:auto val="1"/>
        <c:lblOffset val="100"/>
        <c:tickLblSkip val="2"/>
        <c:noMultiLvlLbl val="0"/>
      </c:catAx>
      <c:valAx>
        <c:axId val="130179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35952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5425"/>
          <c:w val="0.8775"/>
          <c:h val="0.65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фінансування'!$A$56:$A$61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фінансування'!$C$56:$C$61</c:f>
              <c:numCache>
                <c:ptCount val="6"/>
                <c:pt idx="0">
                  <c:v>3018.8</c:v>
                </c:pt>
                <c:pt idx="1">
                  <c:v>1709.9</c:v>
                </c:pt>
                <c:pt idx="2">
                  <c:v>181.4</c:v>
                </c:pt>
                <c:pt idx="3">
                  <c:v>287.9</c:v>
                </c:pt>
                <c:pt idx="4">
                  <c:v>728.3000000000001</c:v>
                </c:pt>
                <c:pt idx="5">
                  <c:v>111.30000000000004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фінансування'!$A$56:$A$61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фінансування'!$D$56:$D$61</c:f>
              <c:numCache>
                <c:ptCount val="6"/>
                <c:pt idx="0">
                  <c:v>2445.8000000000006</c:v>
                </c:pt>
                <c:pt idx="1">
                  <c:v>1319.5000000000002</c:v>
                </c:pt>
                <c:pt idx="2">
                  <c:v>181.4</c:v>
                </c:pt>
                <c:pt idx="3">
                  <c:v>127.4</c:v>
                </c:pt>
                <c:pt idx="4">
                  <c:v>728.3000000000001</c:v>
                </c:pt>
                <c:pt idx="5">
                  <c:v>89.20000000000036</c:v>
                </c:pt>
              </c:numCache>
            </c:numRef>
          </c:val>
          <c:shape val="box"/>
        </c:ser>
        <c:shape val="box"/>
        <c:axId val="50052957"/>
        <c:axId val="47823430"/>
      </c:bar3DChart>
      <c:catAx>
        <c:axId val="500529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7823430"/>
        <c:crosses val="autoZero"/>
        <c:auto val="1"/>
        <c:lblOffset val="100"/>
        <c:tickLblSkip val="1"/>
        <c:noMultiLvlLbl val="0"/>
      </c:catAx>
      <c:valAx>
        <c:axId val="478234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05295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3"/>
          <c:y val="0.920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95"/>
          <c:w val="0.857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фінансування'!$A$92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фінансування'!$C$92</c:f>
              <c:numCache>
                <c:ptCount val="1"/>
                <c:pt idx="0">
                  <c:v>43252.4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фінансування'!$A$92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фінансування'!$D$92</c:f>
              <c:numCache>
                <c:ptCount val="1"/>
                <c:pt idx="0">
                  <c:v>22520.800000000003</c:v>
                </c:pt>
              </c:numCache>
            </c:numRef>
          </c:val>
          <c:shape val="box"/>
        </c:ser>
        <c:shape val="box"/>
        <c:axId val="27757687"/>
        <c:axId val="48492592"/>
      </c:bar3DChart>
      <c:catAx>
        <c:axId val="277576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8492592"/>
        <c:crosses val="autoZero"/>
        <c:auto val="1"/>
        <c:lblOffset val="100"/>
        <c:tickLblSkip val="1"/>
        <c:noMultiLvlLbl val="0"/>
      </c:catAx>
      <c:valAx>
        <c:axId val="484925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75768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7"/>
          <c:w val="0.851"/>
          <c:h val="0.58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фінансування'!$A$17,'аналіз фінансування'!$A$31,'аналіз фінансування'!$A$49,'аналіз фінансування'!$A$56,'аналіз фінансування'!$A$87,'аналіз фінансування'!$A$92)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фінансування'!$C$17,'аналіз фінансування'!$C$31,'аналіз фінансування'!$C$49,'аналіз фінансування'!$C$56,'аналіз фінансування'!$C$87,'аналіз фінансування'!$C$92)</c:f>
              <c:numCache>
                <c:ptCount val="7"/>
                <c:pt idx="0">
                  <c:v>274405.7</c:v>
                </c:pt>
                <c:pt idx="1">
                  <c:v>177767.7</c:v>
                </c:pt>
                <c:pt idx="2">
                  <c:v>37478.3</c:v>
                </c:pt>
                <c:pt idx="3">
                  <c:v>12140.199999999999</c:v>
                </c:pt>
                <c:pt idx="4">
                  <c:v>3018.8</c:v>
                </c:pt>
                <c:pt idx="5">
                  <c:v>44963</c:v>
                </c:pt>
                <c:pt idx="6">
                  <c:v>43252.4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фінансування'!$A$17,'аналіз фінансування'!$A$31,'аналіз фінансування'!$A$49,'аналіз фінансування'!$A$56,'аналіз фінансування'!$A$87,'аналіз фінансування'!$A$92)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фінансування'!$D$17,'аналіз фінансування'!$D$31,'аналіз фінансування'!$D$49,'аналіз фінансування'!$D$56,'аналіз фінансування'!$D$87,'аналіз фінансування'!$D$92)</c:f>
              <c:numCache>
                <c:ptCount val="7"/>
                <c:pt idx="0">
                  <c:v>187653.51000000004</c:v>
                </c:pt>
                <c:pt idx="1">
                  <c:v>129603.30000000002</c:v>
                </c:pt>
                <c:pt idx="2">
                  <c:v>24818.599999999995</c:v>
                </c:pt>
                <c:pt idx="3">
                  <c:v>7688.699999999999</c:v>
                </c:pt>
                <c:pt idx="4">
                  <c:v>2445.8000000000006</c:v>
                </c:pt>
                <c:pt idx="5">
                  <c:v>29313.80000000001</c:v>
                </c:pt>
                <c:pt idx="6">
                  <c:v>22520.800000000003</c:v>
                </c:pt>
              </c:numCache>
            </c:numRef>
          </c:val>
          <c:shape val="box"/>
        </c:ser>
        <c:shape val="box"/>
        <c:axId val="33780145"/>
        <c:axId val="35585850"/>
      </c:bar3DChart>
      <c:catAx>
        <c:axId val="337801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5585850"/>
        <c:crosses val="autoZero"/>
        <c:auto val="1"/>
        <c:lblOffset val="100"/>
        <c:tickLblSkip val="1"/>
        <c:noMultiLvlLbl val="0"/>
      </c:catAx>
      <c:valAx>
        <c:axId val="355858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78014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505"/>
          <c:w val="0.84125"/>
          <c:h val="0.65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фінансування'!$A$138:$A$143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фінансування'!$C$138:$C$143</c:f>
              <c:numCache>
                <c:ptCount val="6"/>
                <c:pt idx="0">
                  <c:v>430367.6</c:v>
                </c:pt>
                <c:pt idx="1">
                  <c:v>64580.7</c:v>
                </c:pt>
                <c:pt idx="2">
                  <c:v>20516.600000000002</c:v>
                </c:pt>
                <c:pt idx="3">
                  <c:v>8099.5</c:v>
                </c:pt>
                <c:pt idx="4">
                  <c:v>7943.900000000001</c:v>
                </c:pt>
                <c:pt idx="5">
                  <c:v>92651.4000000001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фінансування'!$A$138:$A$143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фінансування'!$D$138:$D$143</c:f>
              <c:numCache>
                <c:ptCount val="6"/>
                <c:pt idx="0">
                  <c:v>314467.8999999999</c:v>
                </c:pt>
                <c:pt idx="1">
                  <c:v>34403.30000000001</c:v>
                </c:pt>
                <c:pt idx="2">
                  <c:v>12442.400000000003</c:v>
                </c:pt>
                <c:pt idx="3">
                  <c:v>5566.1</c:v>
                </c:pt>
                <c:pt idx="4">
                  <c:v>2836.1000000000004</c:v>
                </c:pt>
                <c:pt idx="5">
                  <c:v>52196.81000000018</c:v>
                </c:pt>
              </c:numCache>
            </c:numRef>
          </c:val>
          <c:shape val="box"/>
        </c:ser>
        <c:shape val="box"/>
        <c:axId val="51837195"/>
        <c:axId val="63881572"/>
      </c:bar3DChart>
      <c:catAx>
        <c:axId val="518371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881572"/>
        <c:crosses val="autoZero"/>
        <c:auto val="1"/>
        <c:lblOffset val="100"/>
        <c:tickLblSkip val="1"/>
        <c:noMultiLvlLbl val="0"/>
      </c:catAx>
      <c:valAx>
        <c:axId val="638815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83719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14</xdr:col>
      <xdr:colOff>514350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17145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15</xdr:col>
      <xdr:colOff>104775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034415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76200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210800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15</xdr:col>
      <xdr:colOff>9525</xdr:colOff>
      <xdr:row>33</xdr:row>
      <xdr:rowOff>0</xdr:rowOff>
    </xdr:to>
    <xdr:graphicFrame>
      <xdr:nvGraphicFramePr>
        <xdr:cNvPr id="1" name="Диаграмма 1"/>
        <xdr:cNvGraphicFramePr/>
      </xdr:nvGraphicFramePr>
      <xdr:xfrm>
        <a:off x="66675" y="85725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3"/>
  <sheetViews>
    <sheetView tabSelected="1" view="pageBreakPreview" zoomScale="80" zoomScaleNormal="75" zoomScaleSheetLayoutView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" sqref="A3:A5"/>
    </sheetView>
  </sheetViews>
  <sheetFormatPr defaultColWidth="9.00390625" defaultRowHeight="12.75"/>
  <cols>
    <col min="1" max="1" width="66.875" style="36" customWidth="1"/>
    <col min="2" max="2" width="19.00390625" style="36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1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18" t="s">
        <v>112</v>
      </c>
      <c r="B1" s="118"/>
      <c r="C1" s="118"/>
      <c r="D1" s="118"/>
      <c r="E1" s="118"/>
      <c r="F1" s="118"/>
      <c r="G1" s="118"/>
      <c r="H1" s="118"/>
      <c r="I1" s="118"/>
    </row>
    <row r="2" spans="1:8" ht="9.75" customHeight="1" thickBot="1">
      <c r="A2" s="27"/>
      <c r="B2" s="27"/>
      <c r="C2" s="10"/>
      <c r="D2" s="10"/>
      <c r="E2" s="10"/>
      <c r="F2" s="10"/>
      <c r="G2" s="10"/>
      <c r="H2" s="10"/>
    </row>
    <row r="3" spans="1:9" ht="29.25" customHeight="1">
      <c r="A3" s="122" t="s">
        <v>50</v>
      </c>
      <c r="B3" s="119" t="s">
        <v>109</v>
      </c>
      <c r="C3" s="119" t="s">
        <v>102</v>
      </c>
      <c r="D3" s="119" t="s">
        <v>29</v>
      </c>
      <c r="E3" s="119" t="s">
        <v>28</v>
      </c>
      <c r="F3" s="119" t="s">
        <v>110</v>
      </c>
      <c r="G3" s="119" t="s">
        <v>103</v>
      </c>
      <c r="H3" s="119" t="s">
        <v>111</v>
      </c>
      <c r="I3" s="119" t="s">
        <v>104</v>
      </c>
    </row>
    <row r="4" spans="1:9" ht="24.75" customHeight="1">
      <c r="A4" s="123"/>
      <c r="B4" s="120"/>
      <c r="C4" s="120"/>
      <c r="D4" s="120"/>
      <c r="E4" s="120"/>
      <c r="F4" s="120"/>
      <c r="G4" s="120"/>
      <c r="H4" s="120"/>
      <c r="I4" s="120"/>
    </row>
    <row r="5" spans="1:9" ht="39" customHeight="1" thickBot="1">
      <c r="A5" s="124"/>
      <c r="B5" s="121"/>
      <c r="C5" s="121"/>
      <c r="D5" s="121"/>
      <c r="E5" s="121"/>
      <c r="F5" s="121"/>
      <c r="G5" s="121"/>
      <c r="H5" s="121"/>
      <c r="I5" s="121"/>
    </row>
    <row r="6" spans="1:9" ht="18.75" thickBot="1">
      <c r="A6" s="28" t="s">
        <v>34</v>
      </c>
      <c r="B6" s="52">
        <f>210661+747.3-1104.4</f>
        <v>210303.9</v>
      </c>
      <c r="C6" s="53">
        <f>279531.5-5173.3+47.5</f>
        <v>274405.7</v>
      </c>
      <c r="D6" s="54">
        <f>7985.1+539+415.1+9890.7+509.1+95.4+495.3+8129.6+543.8+124.7+4+806.2+1384.8+4074.5+2508.4-0.1+1809.8+197+2.8+391.5+5351+1046.8+1404.7+285.4+80.8+603.2+1837.5+3003.4+196.9+8063.3+1035+0.2+765.8+122.3+1384.4+4+193.2+150.7+641.6+852.4+11002.4+113.2+1.1+622.1+388.9+504.4+104+200+176+10178.9+1338.1+439.2+873.2+14.5+319.1+1317.2+104+9.1+9102+321.4+179+100.1+40+222.1+44.9+145.5+22727.3+165.8+121.8+390.4+35.1+20+174.3+169.8+18386+90.5+436.9+154.7+0.4+499.1+151.8+157.9+12045.9+471.6+0.1+532.4+224.1+43.7+120.4+34.3+129.9+190+101.2+6489.1+30+140.2+100+51.2+46.5+20+57.5+86.8+407.5+0.1+396.8+189.5+580.6+441.3+439.3+1165.6+272+6.5+6260.01+40.4+24+66.2+184.1+2142.1+717.9+245.1+2929.1+0.1+594.8+1083.1+41+16.5+23+0.5+0.5+154.7+14.7+8651.3+110.9+33+249.3+206.6+51.2+72+269.6+18.8</f>
        <v>197486.11000000004</v>
      </c>
      <c r="E6" s="3">
        <f>D6/D137*100</f>
        <v>44.23244600389529</v>
      </c>
      <c r="F6" s="3">
        <f>D6/B6*100</f>
        <v>93.90511065177586</v>
      </c>
      <c r="G6" s="3">
        <f aca="true" t="shared" si="0" ref="G6:G41">D6/C6*100</f>
        <v>71.9686617296944</v>
      </c>
      <c r="H6" s="3">
        <f>B6-D6</f>
        <v>12817.78999999995</v>
      </c>
      <c r="I6" s="3">
        <f aca="true" t="shared" si="1" ref="I6:I41">C6-D6</f>
        <v>76919.58999999997</v>
      </c>
    </row>
    <row r="7" spans="1:9" ht="18">
      <c r="A7" s="29" t="s">
        <v>3</v>
      </c>
      <c r="B7" s="49">
        <f>173962.2+747.3-1013.5</f>
        <v>173696</v>
      </c>
      <c r="C7" s="50">
        <f>220378.6-5173.3+74.8</f>
        <v>215280.1</v>
      </c>
      <c r="D7" s="51">
        <f>7985.1+61.4+9890.7+1.2+8129.6+806.2+1384.8+4074.5+2508.4-0.1+1256+5351+1046.8+1404.7+196.9+8063.3+1035+0.1+765.8+122.3+398.7+641.6+852.4+6947.2+10178.9+8480.2+21078.8+18386+499.1+151.8+157.9+11710+0.1+4412.3+57.5+86.8+407.4+396.8+189.5+580.6+441.3+439.3+1165.6+272+6.5+5281+1+2140.4+717.9+245.1+2929.1+533.3+1070.1+7916.3</f>
        <v>162856.19999999992</v>
      </c>
      <c r="E7" s="1">
        <f>D7/D6*100</f>
        <v>82.46463510775511</v>
      </c>
      <c r="F7" s="1">
        <f>D7/B7*100</f>
        <v>93.75932663964623</v>
      </c>
      <c r="G7" s="1">
        <f t="shared" si="0"/>
        <v>75.64851558504475</v>
      </c>
      <c r="H7" s="1">
        <f>B7-D7</f>
        <v>10839.800000000076</v>
      </c>
      <c r="I7" s="1">
        <f t="shared" si="1"/>
        <v>52423.90000000008</v>
      </c>
    </row>
    <row r="8" spans="1:9" ht="18">
      <c r="A8" s="29" t="s">
        <v>2</v>
      </c>
      <c r="B8" s="49">
        <f>39.6-9.6</f>
        <v>30</v>
      </c>
      <c r="C8" s="50">
        <v>44.6</v>
      </c>
      <c r="D8" s="51">
        <f>0.1+0.1+0.3+0.3+2.7+0.7+1.1+1.4+0.5+0.7+1.7+0.4+0.5+1+0.2+0.1+2.9+0.1+0.2+1+0.8</f>
        <v>16.8</v>
      </c>
      <c r="E8" s="12">
        <f>D8/D6*100</f>
        <v>0.008506927398590207</v>
      </c>
      <c r="F8" s="1">
        <f>D8/B8*100</f>
        <v>56.00000000000001</v>
      </c>
      <c r="G8" s="1">
        <f t="shared" si="0"/>
        <v>37.66816143497758</v>
      </c>
      <c r="H8" s="1">
        <f aca="true" t="shared" si="2" ref="H8:H41">B8-D8</f>
        <v>13.2</v>
      </c>
      <c r="I8" s="1">
        <f t="shared" si="1"/>
        <v>27.8</v>
      </c>
    </row>
    <row r="9" spans="1:9" ht="18">
      <c r="A9" s="29" t="s">
        <v>1</v>
      </c>
      <c r="B9" s="49">
        <f>12083.2-77.1</f>
        <v>12006.1</v>
      </c>
      <c r="C9" s="50">
        <v>17103.7</v>
      </c>
      <c r="D9" s="55">
        <f>538.7+346.9+429.4+56.3+419.6+508.1+71-0.1+453.2+98.5+2.8+391.5+199.8+80.8+202.8+35.8+0.1+605.8+190.7+96.5+200+176+997.3+131.2+243.2+104+591.3+99.4+217.4+212.6+91.6-0.1+103.6+174.3+89.1+426.5+77.6+43.7+34.3+79.9+190+100+316.7+131.4+13.3+522.6+10.4+128.7+1.7-0.2+150+366.3+105.4+229.4+104.9+60.2+4.8</f>
        <v>11256.7</v>
      </c>
      <c r="E9" s="1">
        <f>D9/D6*100</f>
        <v>5.6999958123637136</v>
      </c>
      <c r="F9" s="1">
        <f aca="true" t="shared" si="3" ref="F9:F39">D9/B9*100</f>
        <v>93.75817292876121</v>
      </c>
      <c r="G9" s="1">
        <f t="shared" si="0"/>
        <v>65.81441442494899</v>
      </c>
      <c r="H9" s="1">
        <f t="shared" si="2"/>
        <v>749.3999999999996</v>
      </c>
      <c r="I9" s="1">
        <f t="shared" si="1"/>
        <v>5847</v>
      </c>
    </row>
    <row r="10" spans="1:9" ht="18">
      <c r="A10" s="29" t="s">
        <v>0</v>
      </c>
      <c r="B10" s="49">
        <f>22458.4-4.2</f>
        <v>22454.2</v>
      </c>
      <c r="C10" s="50">
        <v>39445.5</v>
      </c>
      <c r="D10" s="56">
        <f>1.1+76.7+36.7+34.9+18.5+42.2+88.1+82.5+80.9+400.1+1837.5+2957.3+365.3+150+4041.5+622.1+388.9+504.4+104+339.4+307.4+873.2+298.8+1030.7+5.1+301.4+159+4.7+44.9+145.5+1389.2+0.1+286.8+29.7+169.8+150+335.9+471.6+518+146.5+100.2+1758.9+8.6+0.7+21.2+33.2+456.5+8.7+16.2+0.1+364.5+0.1+4.3+99.1+10.8+194.4</f>
        <v>21917.899999999998</v>
      </c>
      <c r="E10" s="1">
        <f>D10/D6*100</f>
        <v>11.09845143033097</v>
      </c>
      <c r="F10" s="1">
        <f t="shared" si="3"/>
        <v>97.61158268831664</v>
      </c>
      <c r="G10" s="1">
        <f t="shared" si="0"/>
        <v>55.56502009101164</v>
      </c>
      <c r="H10" s="1">
        <f t="shared" si="2"/>
        <v>536.3000000000029</v>
      </c>
      <c r="I10" s="1">
        <f t="shared" si="1"/>
        <v>17527.600000000002</v>
      </c>
    </row>
    <row r="11" spans="1:9" ht="18">
      <c r="A11" s="29" t="s">
        <v>15</v>
      </c>
      <c r="B11" s="49">
        <v>217.3</v>
      </c>
      <c r="C11" s="50">
        <f>281.8-31.7</f>
        <v>250.10000000000002</v>
      </c>
      <c r="D11" s="51">
        <f>4+4+12.7+4+4+14.5+4+115.8+4+14.4+5.4</f>
        <v>186.8</v>
      </c>
      <c r="E11" s="1">
        <f>D11/D6*100</f>
        <v>0.09458893083670541</v>
      </c>
      <c r="F11" s="1">
        <f t="shared" si="3"/>
        <v>85.96410492406811</v>
      </c>
      <c r="G11" s="1">
        <f t="shared" si="0"/>
        <v>74.69012395041983</v>
      </c>
      <c r="H11" s="1">
        <f t="shared" si="2"/>
        <v>30.5</v>
      </c>
      <c r="I11" s="1">
        <f t="shared" si="1"/>
        <v>63.30000000000001</v>
      </c>
    </row>
    <row r="12" spans="1:9" ht="18.75" thickBot="1">
      <c r="A12" s="29" t="s">
        <v>35</v>
      </c>
      <c r="B12" s="50">
        <f>B6-B7-B8-B9-B10-B11</f>
        <v>1900.299999999995</v>
      </c>
      <c r="C12" s="50">
        <f>C6-C7-C8-C9-C10-C11</f>
        <v>2281.700000000003</v>
      </c>
      <c r="D12" s="50">
        <f>D6-D7-D8-D9-D10-D11</f>
        <v>1251.7100000001185</v>
      </c>
      <c r="E12" s="1">
        <f>D12/D6*100</f>
        <v>0.6338217913149022</v>
      </c>
      <c r="F12" s="1">
        <f t="shared" si="3"/>
        <v>65.86907330422153</v>
      </c>
      <c r="G12" s="1">
        <f t="shared" si="0"/>
        <v>54.858658018149484</v>
      </c>
      <c r="H12" s="1">
        <f t="shared" si="2"/>
        <v>648.5899999998765</v>
      </c>
      <c r="I12" s="1">
        <f t="shared" si="1"/>
        <v>1029.9899999998845</v>
      </c>
    </row>
    <row r="13" spans="1:9" s="44" customFormat="1" ht="18.75" customHeight="1" hidden="1">
      <c r="A13" s="110" t="s">
        <v>85</v>
      </c>
      <c r="B13" s="108"/>
      <c r="C13" s="108"/>
      <c r="D13" s="108"/>
      <c r="E13" s="109"/>
      <c r="F13" s="109" t="e">
        <f>D13/B13*100</f>
        <v>#DIV/0!</v>
      </c>
      <c r="G13" s="109" t="e">
        <f>D13/C13*100</f>
        <v>#DIV/0!</v>
      </c>
      <c r="H13" s="109">
        <f>B13-D13</f>
        <v>0</v>
      </c>
      <c r="I13" s="109">
        <f>C13-D13</f>
        <v>0</v>
      </c>
    </row>
    <row r="14" spans="1:9" s="44" customFormat="1" ht="18.75" customHeight="1" hidden="1">
      <c r="A14" s="110" t="s">
        <v>82</v>
      </c>
      <c r="B14" s="108"/>
      <c r="C14" s="108"/>
      <c r="D14" s="108"/>
      <c r="E14" s="109"/>
      <c r="F14" s="109" t="e">
        <f>D14/B14*100</f>
        <v>#DIV/0!</v>
      </c>
      <c r="G14" s="109" t="e">
        <f>D14/C14*100</f>
        <v>#DIV/0!</v>
      </c>
      <c r="H14" s="109">
        <f>B14-D14</f>
        <v>0</v>
      </c>
      <c r="I14" s="109">
        <f>C14-D14</f>
        <v>0</v>
      </c>
    </row>
    <row r="15" spans="1:9" s="44" customFormat="1" ht="19.5" hidden="1" thickBot="1">
      <c r="A15" s="110" t="s">
        <v>83</v>
      </c>
      <c r="B15" s="108"/>
      <c r="C15" s="108"/>
      <c r="D15" s="108"/>
      <c r="E15" s="109"/>
      <c r="F15" s="109" t="e">
        <f>D15/B15*100</f>
        <v>#DIV/0!</v>
      </c>
      <c r="G15" s="109" t="e">
        <f>D15/C15*100</f>
        <v>#DIV/0!</v>
      </c>
      <c r="H15" s="109">
        <f>B15-D15</f>
        <v>0</v>
      </c>
      <c r="I15" s="109">
        <f>C15-D15</f>
        <v>0</v>
      </c>
    </row>
    <row r="16" spans="1:9" s="44" customFormat="1" ht="19.5" hidden="1" thickBot="1">
      <c r="A16" s="110" t="s">
        <v>84</v>
      </c>
      <c r="B16" s="108"/>
      <c r="C16" s="108"/>
      <c r="D16" s="108"/>
      <c r="E16" s="109"/>
      <c r="F16" s="109" t="e">
        <f>D16/B16*100</f>
        <v>#DIV/0!</v>
      </c>
      <c r="G16" s="109" t="e">
        <f>D16/C16*100</f>
        <v>#DIV/0!</v>
      </c>
      <c r="H16" s="109">
        <f>B16-D16</f>
        <v>0</v>
      </c>
      <c r="I16" s="109">
        <f>C16-D16</f>
        <v>0</v>
      </c>
    </row>
    <row r="17" spans="1:9" ht="18.75" thickBot="1">
      <c r="A17" s="28" t="s">
        <v>23</v>
      </c>
      <c r="B17" s="52">
        <v>152884.1</v>
      </c>
      <c r="C17" s="53">
        <f>176050.5+1395.7+321.5</f>
        <v>177767.7</v>
      </c>
      <c r="D17" s="54">
        <f>5329.2+6976.4+310.1+0.1+574.9+417.4+5396.4+2+668.9+83+171.9+366.8+7074.6+0.1+0.1+821.2+7.6+8.6+0.9+5585.2+2.9+0.4+456.2+427.1+1512+1289.7+309.6+556.1+6698.2+0.1+627.6+100+38.4+187.4+237.9+6782.9+54.8+1256.6+91.1+62.1+70.4+14.7+2132.5+5885.3+15.9+0.1+24.4+115.2+100+53.6+5971.1+202.1+113.6+100+126.1+147.7+9483.9+108.9+133.6-0.1+13.4+118.3+100+171.7+237+5811.7+67.1+104.6+110.3+48+20.5+66.7+9482.1+286.2+405.3+49.8+267.7+50+8793.3+50+0.7+200+1.1+30+92.5+134.8+247.4+9.3+409.3+7737.5+0.1+7247.6+102.9+275.7+91+1867.4+4041.7+0.1+1069.7+155.1+34+126+149+41.2+26+29.3+6713.2+147.4+129.1+121.8+17.4+38.6+2.7+609.7+82.8</f>
        <v>137521.30000000002</v>
      </c>
      <c r="E17" s="3">
        <f>D17/D137*100</f>
        <v>30.801677528791693</v>
      </c>
      <c r="F17" s="3">
        <f>D17/B17*100</f>
        <v>89.95134222590839</v>
      </c>
      <c r="G17" s="3">
        <f t="shared" si="0"/>
        <v>77.36011660160986</v>
      </c>
      <c r="H17" s="3">
        <f>B17-D17</f>
        <v>15362.799999999988</v>
      </c>
      <c r="I17" s="3">
        <f t="shared" si="1"/>
        <v>40246.399999999994</v>
      </c>
    </row>
    <row r="18" spans="1:9" ht="18">
      <c r="A18" s="29" t="s">
        <v>5</v>
      </c>
      <c r="B18" s="49">
        <v>120605.7</v>
      </c>
      <c r="C18" s="50">
        <f>133077.8+325.7</f>
        <v>133403.5</v>
      </c>
      <c r="D18" s="51">
        <f>5127.2+6545.1+310.1+0.1+5190.4+6767.1+5380.4+556.1+6698.2+26.3+5454.2+14.7+1807.4+5633.7-0.1+5479.7+8333.7+0.1+5594.2+20.5+8919.7-0.1+6648.6+409.3+7265+6051.8+1663.6+3936.9-0.1+1069.7+155.1+0.3+41.2+5904.4</f>
        <v>111004.49999999999</v>
      </c>
      <c r="E18" s="1">
        <f>D18/D17*100</f>
        <v>80.71804149611731</v>
      </c>
      <c r="F18" s="1">
        <f t="shared" si="3"/>
        <v>92.03918222770564</v>
      </c>
      <c r="G18" s="1">
        <f t="shared" si="0"/>
        <v>83.20958595539096</v>
      </c>
      <c r="H18" s="1">
        <f t="shared" si="2"/>
        <v>9601.200000000012</v>
      </c>
      <c r="I18" s="1">
        <f t="shared" si="1"/>
        <v>22399.000000000015</v>
      </c>
    </row>
    <row r="19" spans="1:9" ht="18">
      <c r="A19" s="29" t="s">
        <v>2</v>
      </c>
      <c r="B19" s="49">
        <v>5825.9</v>
      </c>
      <c r="C19" s="50">
        <f>7565.3-5.5+258.8</f>
        <v>7818.6</v>
      </c>
      <c r="D19" s="51">
        <f>15+99.7+173.8+0.6+107.5+22.1+0.5+193.8+202.2+7.6+0.9+0.4+198.3+0.9+0.9+95.5+0.1+279.3+38.4+83.3+46.9+46.6+4.1+6.6+39.1+95.6+92.1+24.2+50.1-0.1+50+365.7+1.1+48.1+10.4+9.3-0.1+354.3+8.9+29.5+20+0.3+26+291.1+39.2+2+2.7+296.1</f>
        <v>3480.5999999999995</v>
      </c>
      <c r="E19" s="1">
        <f>D19/D17*100</f>
        <v>2.5309533868571625</v>
      </c>
      <c r="F19" s="1">
        <f t="shared" si="3"/>
        <v>59.74355893510015</v>
      </c>
      <c r="G19" s="1">
        <f t="shared" si="0"/>
        <v>44.51692118793645</v>
      </c>
      <c r="H19" s="1">
        <f t="shared" si="2"/>
        <v>2345.3</v>
      </c>
      <c r="I19" s="1">
        <f t="shared" si="1"/>
        <v>4338.000000000001</v>
      </c>
    </row>
    <row r="20" spans="1:9" ht="18">
      <c r="A20" s="29" t="s">
        <v>1</v>
      </c>
      <c r="B20" s="49">
        <f>2404.9-17.3</f>
        <v>2387.6</v>
      </c>
      <c r="C20" s="50">
        <v>2836.6</v>
      </c>
      <c r="D20" s="51">
        <f>50.7+162.6+43.4+2.3+47.2+1.8+59.1-0.1+62.8+64.5+13.9+16.6+5.7+70.4+205+17+53.6+0.4+52.9+123.3+33.6+13.4+33.2+48.5+167.7+45.5+44.4+10.1+293.6+15.3+0.1+122.4+32+45.4+109.8</f>
        <v>2068.1</v>
      </c>
      <c r="E20" s="1">
        <f>D20/D17*100</f>
        <v>1.503839768821266</v>
      </c>
      <c r="F20" s="1">
        <f t="shared" si="3"/>
        <v>86.61836153459541</v>
      </c>
      <c r="G20" s="1">
        <f t="shared" si="0"/>
        <v>72.9077064090813</v>
      </c>
      <c r="H20" s="1">
        <f t="shared" si="2"/>
        <v>319.5</v>
      </c>
      <c r="I20" s="1">
        <f t="shared" si="1"/>
        <v>768.5</v>
      </c>
    </row>
    <row r="21" spans="1:9" ht="18">
      <c r="A21" s="29" t="s">
        <v>0</v>
      </c>
      <c r="B21" s="49">
        <f>11928.5+17.3</f>
        <v>11945.8</v>
      </c>
      <c r="C21" s="50">
        <f>19349.6+4</f>
        <v>19353.6</v>
      </c>
      <c r="D21" s="51">
        <f>36.6+15.7+3.3+2+290.1+4.1+24.2+41.8-0.1+460.8+0.9+2.5+257.9+361.7+1303.2+901+0.2+255.3+105.4+1050+1256.6+91+115.9+147.7+464.8+110+110.3+66.7+175+286.2-0.1+383.7+49.8+1261.4+100+227.4+297.9+1.5+191.9+21-0.1+309.1+54.7+82.9+106.4</f>
        <v>11028.299999999997</v>
      </c>
      <c r="E21" s="1">
        <f>D21/D17*100</f>
        <v>8.019339549582497</v>
      </c>
      <c r="F21" s="1">
        <f t="shared" si="3"/>
        <v>92.31947630129417</v>
      </c>
      <c r="G21" s="1">
        <f t="shared" si="0"/>
        <v>56.98319692460316</v>
      </c>
      <c r="H21" s="1">
        <f t="shared" si="2"/>
        <v>917.5000000000018</v>
      </c>
      <c r="I21" s="1">
        <f t="shared" si="1"/>
        <v>8325.300000000001</v>
      </c>
    </row>
    <row r="22" spans="1:9" ht="18">
      <c r="A22" s="29" t="s">
        <v>15</v>
      </c>
      <c r="B22" s="49">
        <f>1083.9+0.1</f>
        <v>1084</v>
      </c>
      <c r="C22" s="50">
        <f>1388.5-4+10.9</f>
        <v>1395.4</v>
      </c>
      <c r="D22" s="51">
        <f>14.2+80.1+19.7+105+3.5+1.3+30+84.1+0.1+72.2+54.8+15.1+59.3+59.3+8.9+52.2+1.2+36.9+21.6+108.1+114.2+52.3+53.9</f>
        <v>1048</v>
      </c>
      <c r="E22" s="1">
        <f>D22/D17*100</f>
        <v>0.7620637675763681</v>
      </c>
      <c r="F22" s="1">
        <f t="shared" si="3"/>
        <v>96.6789667896679</v>
      </c>
      <c r="G22" s="1">
        <f t="shared" si="0"/>
        <v>75.10391285652858</v>
      </c>
      <c r="H22" s="1">
        <f t="shared" si="2"/>
        <v>36</v>
      </c>
      <c r="I22" s="1">
        <f t="shared" si="1"/>
        <v>347.4000000000001</v>
      </c>
    </row>
    <row r="23" spans="1:9" ht="18.75" thickBot="1">
      <c r="A23" s="29" t="s">
        <v>35</v>
      </c>
      <c r="B23" s="50">
        <f>B17-B18-B19-B20-B21-B22</f>
        <v>11035.10000000001</v>
      </c>
      <c r="C23" s="50">
        <f>C17-C18-C19-C20-C21-C22</f>
        <v>12960.000000000016</v>
      </c>
      <c r="D23" s="50">
        <f>D17-D18-D19-D20-D21-D22</f>
        <v>8891.800000000037</v>
      </c>
      <c r="E23" s="1">
        <f>D23/D17*100</f>
        <v>6.4657620310454</v>
      </c>
      <c r="F23" s="1">
        <f t="shared" si="3"/>
        <v>80.57743019999846</v>
      </c>
      <c r="G23" s="1">
        <f t="shared" si="0"/>
        <v>68.60956790123477</v>
      </c>
      <c r="H23" s="1">
        <f t="shared" si="2"/>
        <v>2143.299999999972</v>
      </c>
      <c r="I23" s="1">
        <f t="shared" si="1"/>
        <v>4068.199999999979</v>
      </c>
    </row>
    <row r="24" spans="1:9" ht="57" hidden="1" thickBot="1">
      <c r="A24" s="110" t="s">
        <v>93</v>
      </c>
      <c r="B24" s="50"/>
      <c r="C24" s="50"/>
      <c r="D24" s="50"/>
      <c r="E24" s="1"/>
      <c r="F24" s="1" t="e">
        <f t="shared" si="3"/>
        <v>#DIV/0!</v>
      </c>
      <c r="G24" s="1" t="e">
        <f t="shared" si="0"/>
        <v>#DIV/0!</v>
      </c>
      <c r="H24" s="1">
        <f t="shared" si="2"/>
        <v>0</v>
      </c>
      <c r="I24" s="1">
        <f t="shared" si="1"/>
        <v>0</v>
      </c>
    </row>
    <row r="25" spans="1:9" ht="36.75" customHeight="1" hidden="1">
      <c r="A25" s="110" t="s">
        <v>94</v>
      </c>
      <c r="B25" s="50"/>
      <c r="C25" s="50"/>
      <c r="D25" s="50"/>
      <c r="E25" s="1"/>
      <c r="F25" s="1" t="e">
        <f t="shared" si="3"/>
        <v>#DIV/0!</v>
      </c>
      <c r="G25" s="1" t="e">
        <f t="shared" si="0"/>
        <v>#DIV/0!</v>
      </c>
      <c r="H25" s="1">
        <f t="shared" si="2"/>
        <v>0</v>
      </c>
      <c r="I25" s="1">
        <f t="shared" si="1"/>
        <v>0</v>
      </c>
    </row>
    <row r="26" spans="1:9" ht="19.5" hidden="1" thickBot="1">
      <c r="A26" s="110" t="s">
        <v>95</v>
      </c>
      <c r="B26" s="50"/>
      <c r="C26" s="50"/>
      <c r="D26" s="50"/>
      <c r="E26" s="1"/>
      <c r="F26" s="1" t="e">
        <f t="shared" si="3"/>
        <v>#DIV/0!</v>
      </c>
      <c r="G26" s="1" t="e">
        <f t="shared" si="0"/>
        <v>#DIV/0!</v>
      </c>
      <c r="H26" s="1">
        <f t="shared" si="2"/>
        <v>0</v>
      </c>
      <c r="I26" s="1">
        <f t="shared" si="1"/>
        <v>0</v>
      </c>
    </row>
    <row r="27" spans="1:9" ht="39.75" customHeight="1" hidden="1">
      <c r="A27" s="110" t="s">
        <v>96</v>
      </c>
      <c r="B27" s="50"/>
      <c r="C27" s="50"/>
      <c r="D27" s="50"/>
      <c r="E27" s="1"/>
      <c r="F27" s="1" t="e">
        <f t="shared" si="3"/>
        <v>#DIV/0!</v>
      </c>
      <c r="G27" s="1" t="e">
        <f t="shared" si="0"/>
        <v>#DIV/0!</v>
      </c>
      <c r="H27" s="1">
        <f t="shared" si="2"/>
        <v>0</v>
      </c>
      <c r="I27" s="1">
        <f t="shared" si="1"/>
        <v>0</v>
      </c>
    </row>
    <row r="28" spans="1:9" ht="37.5" customHeight="1" hidden="1">
      <c r="A28" s="110" t="s">
        <v>97</v>
      </c>
      <c r="B28" s="50"/>
      <c r="C28" s="50"/>
      <c r="D28" s="50"/>
      <c r="E28" s="1"/>
      <c r="F28" s="1" t="e">
        <f>D28/B28*100</f>
        <v>#DIV/0!</v>
      </c>
      <c r="G28" s="1" t="e">
        <f t="shared" si="0"/>
        <v>#DIV/0!</v>
      </c>
      <c r="H28" s="1">
        <f t="shared" si="2"/>
        <v>0</v>
      </c>
      <c r="I28" s="1">
        <f t="shared" si="1"/>
        <v>0</v>
      </c>
    </row>
    <row r="29" spans="1:9" ht="36" customHeight="1" hidden="1">
      <c r="A29" s="110" t="s">
        <v>98</v>
      </c>
      <c r="B29" s="50"/>
      <c r="C29" s="50"/>
      <c r="D29" s="50"/>
      <c r="E29" s="1"/>
      <c r="F29" s="1" t="e">
        <f t="shared" si="3"/>
        <v>#DIV/0!</v>
      </c>
      <c r="G29" s="1" t="e">
        <f t="shared" si="0"/>
        <v>#DIV/0!</v>
      </c>
      <c r="H29" s="1">
        <f t="shared" si="2"/>
        <v>0</v>
      </c>
      <c r="I29" s="1">
        <f t="shared" si="1"/>
        <v>0</v>
      </c>
    </row>
    <row r="30" spans="1:9" ht="19.5" hidden="1" thickBot="1">
      <c r="A30" s="110" t="s">
        <v>99</v>
      </c>
      <c r="B30" s="50"/>
      <c r="C30" s="50"/>
      <c r="D30" s="50"/>
      <c r="E30" s="1"/>
      <c r="F30" s="1" t="e">
        <f t="shared" si="3"/>
        <v>#DIV/0!</v>
      </c>
      <c r="G30" s="1" t="e">
        <f t="shared" si="0"/>
        <v>#DIV/0!</v>
      </c>
      <c r="H30" s="1">
        <f t="shared" si="2"/>
        <v>0</v>
      </c>
      <c r="I30" s="1">
        <f t="shared" si="1"/>
        <v>0</v>
      </c>
    </row>
    <row r="31" spans="1:9" ht="18.75" thickBot="1">
      <c r="A31" s="28" t="s">
        <v>18</v>
      </c>
      <c r="B31" s="52">
        <f>28936.1+16.7</f>
        <v>28952.8</v>
      </c>
      <c r="C31" s="53">
        <f>38286.9-761.1-47.5</f>
        <v>37478.3</v>
      </c>
      <c r="D31" s="57">
        <f>1347.1+62.9+5.5+1121.1+3+1.1+2.6+0.1+234+6+147.2+4.6+1039.4+104.2+50.8+0.5+110.9+1079.5+38+332+67.8+22.1+92.4+1134.6+86.2+65+3.4+18.4+51.6+1048-0.1+145.6+230.7+127.5+86.7+1163.9+231.2+80.7+7.2+63.5+32.7+0.3+1088.2+30.8+26.3+139.4+331.2+18+30.8+1220.6+17.5+34.9+81.7+1268+23.6+102+0.1+61.6+160.4+85.3+5.4+4.1+3118.3+111.6+66.8+4.1+55.7+5.3+55.1+2433.5+0.1-70.8+112.3+364.3+50.1+26.1+503.8+60+75.6+0.4+0.8+37.2+20+4.3+299.2+112.4+421.4+2.5+324.5+0.4+26.8+0.5+849.2-0.2+171.3+53.1+0.2+342.9+9.4+32.2+1170.6+0.6+55.3+47.3+0.1+0.4+1.1</f>
        <v>26135.59999999999</v>
      </c>
      <c r="E31" s="3">
        <f>D31/D137*100</f>
        <v>5.853786455054511</v>
      </c>
      <c r="F31" s="3">
        <f>D31/B31*100</f>
        <v>90.26968030725868</v>
      </c>
      <c r="G31" s="3">
        <f t="shared" si="0"/>
        <v>69.73528681930607</v>
      </c>
      <c r="H31" s="3">
        <f t="shared" si="2"/>
        <v>2817.200000000008</v>
      </c>
      <c r="I31" s="3">
        <f t="shared" si="1"/>
        <v>11342.700000000012</v>
      </c>
    </row>
    <row r="32" spans="1:9" ht="18">
      <c r="A32" s="29" t="s">
        <v>3</v>
      </c>
      <c r="B32" s="49">
        <f>22097.5-230.4+16.7</f>
        <v>21883.8</v>
      </c>
      <c r="C32" s="50">
        <f>28976.1-761.1</f>
        <v>28215</v>
      </c>
      <c r="D32" s="51">
        <f>1119.5+1121.1+1039.4+104.2+1079.5+1133.4+1048+1163.9+1081.6+1130.3+1238-0.1+13.4+4.1+3118.3+55.1+2433-70.8+488+299.2+413.9+849.2+1170.6</f>
        <v>20032.8</v>
      </c>
      <c r="E32" s="1">
        <f>D32/D31*100</f>
        <v>76.64947428029204</v>
      </c>
      <c r="F32" s="1">
        <f t="shared" si="3"/>
        <v>91.54168837222055</v>
      </c>
      <c r="G32" s="1">
        <f t="shared" si="0"/>
        <v>71.00053163211058</v>
      </c>
      <c r="H32" s="1">
        <f t="shared" si="2"/>
        <v>1851</v>
      </c>
      <c r="I32" s="1">
        <f t="shared" si="1"/>
        <v>8182.200000000001</v>
      </c>
    </row>
    <row r="33" spans="1:9" ht="18" hidden="1">
      <c r="A33" s="29" t="s">
        <v>1</v>
      </c>
      <c r="B33" s="49"/>
      <c r="C33" s="50"/>
      <c r="D33" s="51"/>
      <c r="E33" s="1">
        <f>D33/D31*100</f>
        <v>0</v>
      </c>
      <c r="F33" s="1" t="e">
        <f t="shared" si="3"/>
        <v>#DIV/0!</v>
      </c>
      <c r="G33" s="1" t="e">
        <f t="shared" si="0"/>
        <v>#DIV/0!</v>
      </c>
      <c r="H33" s="1">
        <f t="shared" si="2"/>
        <v>0</v>
      </c>
      <c r="I33" s="1">
        <f t="shared" si="1"/>
        <v>0</v>
      </c>
    </row>
    <row r="34" spans="1:9" ht="18">
      <c r="A34" s="29" t="s">
        <v>0</v>
      </c>
      <c r="B34" s="49">
        <f>935.4+2</f>
        <v>937.4</v>
      </c>
      <c r="C34" s="50">
        <f>1732.8+0.4+2</f>
        <v>1735.2</v>
      </c>
      <c r="D34" s="51">
        <f>1+2.5+0.8+6+1.4+0.1+11.2+0.5+6.3-0.2+32.4+6.9+2.4+3.4+18.4+48+143.7+198.6+32.7+71.3+22.6+9.9+48+1.6+5.4+15.8+0.4+0.8+1.6+4.3+7.5-0.1+9.4+0.4+4.3</f>
        <v>719.2999999999997</v>
      </c>
      <c r="E34" s="1">
        <f>D34/D31*100</f>
        <v>2.7521847594851465</v>
      </c>
      <c r="F34" s="1">
        <f t="shared" si="3"/>
        <v>76.73351824194577</v>
      </c>
      <c r="G34" s="1">
        <f t="shared" si="0"/>
        <v>41.453434762563376</v>
      </c>
      <c r="H34" s="1">
        <f t="shared" si="2"/>
        <v>218.10000000000025</v>
      </c>
      <c r="I34" s="1">
        <f t="shared" si="1"/>
        <v>1015.9000000000003</v>
      </c>
    </row>
    <row r="35" spans="1:9" s="44" customFormat="1" ht="18.75">
      <c r="A35" s="23" t="s">
        <v>7</v>
      </c>
      <c r="B35" s="58">
        <v>575.6</v>
      </c>
      <c r="C35" s="59">
        <v>715.3</v>
      </c>
      <c r="D35" s="60">
        <f>38.5+5.5+3+4.5+22.1+25.5+8.2+45.3+17.5+1+24+2.2+10+60+29.8</f>
        <v>297.09999999999997</v>
      </c>
      <c r="E35" s="19">
        <f>D35/D31*100</f>
        <v>1.1367636480509347</v>
      </c>
      <c r="F35" s="19">
        <f t="shared" si="3"/>
        <v>51.61570535093814</v>
      </c>
      <c r="G35" s="19">
        <f t="shared" si="0"/>
        <v>41.535020271214876</v>
      </c>
      <c r="H35" s="19">
        <f t="shared" si="2"/>
        <v>278.50000000000006</v>
      </c>
      <c r="I35" s="19">
        <f t="shared" si="1"/>
        <v>418.2</v>
      </c>
    </row>
    <row r="36" spans="1:9" ht="18">
      <c r="A36" s="29" t="s">
        <v>15</v>
      </c>
      <c r="B36" s="49">
        <v>18</v>
      </c>
      <c r="C36" s="50">
        <f>45.2-20</f>
        <v>25.200000000000003</v>
      </c>
      <c r="D36" s="50">
        <f>3.6+3.6+7.2+3.6</f>
        <v>18</v>
      </c>
      <c r="E36" s="1">
        <f>D36/D31*100</f>
        <v>0.06887157746521988</v>
      </c>
      <c r="F36" s="1">
        <f t="shared" si="3"/>
        <v>100</v>
      </c>
      <c r="G36" s="1">
        <f t="shared" si="0"/>
        <v>71.42857142857142</v>
      </c>
      <c r="H36" s="1">
        <f t="shared" si="2"/>
        <v>0</v>
      </c>
      <c r="I36" s="1">
        <f t="shared" si="1"/>
        <v>7.200000000000003</v>
      </c>
    </row>
    <row r="37" spans="1:9" ht="18.75" thickBot="1">
      <c r="A37" s="29" t="s">
        <v>35</v>
      </c>
      <c r="B37" s="49">
        <f>B31-B32-B34-B35-B33-B36</f>
        <v>5538</v>
      </c>
      <c r="C37" s="49">
        <f>C31-C32-C34-C35-C33-C36</f>
        <v>6787.600000000003</v>
      </c>
      <c r="D37" s="49">
        <f>D31-D32-D34-D35-D33-D36</f>
        <v>5068.399999999992</v>
      </c>
      <c r="E37" s="1">
        <f>D37/D31*100</f>
        <v>19.39270573470666</v>
      </c>
      <c r="F37" s="1">
        <f t="shared" si="3"/>
        <v>91.52040447815082</v>
      </c>
      <c r="G37" s="1">
        <f t="shared" si="0"/>
        <v>74.67145972066696</v>
      </c>
      <c r="H37" s="1">
        <f>B37-D37</f>
        <v>469.60000000000764</v>
      </c>
      <c r="I37" s="1">
        <f t="shared" si="1"/>
        <v>1719.2000000000107</v>
      </c>
    </row>
    <row r="38" spans="1:9" ht="19.5" hidden="1" thickBot="1">
      <c r="A38" s="110" t="s">
        <v>90</v>
      </c>
      <c r="B38" s="111"/>
      <c r="C38" s="111"/>
      <c r="D38" s="111"/>
      <c r="E38" s="109"/>
      <c r="F38" s="109" t="e">
        <f t="shared" si="3"/>
        <v>#DIV/0!</v>
      </c>
      <c r="G38" s="109" t="e">
        <f t="shared" si="0"/>
        <v>#DIV/0!</v>
      </c>
      <c r="H38" s="109">
        <f>B38-D38</f>
        <v>0</v>
      </c>
      <c r="I38" s="109">
        <f t="shared" si="1"/>
        <v>0</v>
      </c>
    </row>
    <row r="39" spans="1:9" ht="19.5" hidden="1" thickBot="1">
      <c r="A39" s="110" t="s">
        <v>91</v>
      </c>
      <c r="B39" s="111"/>
      <c r="C39" s="111"/>
      <c r="D39" s="111"/>
      <c r="E39" s="109"/>
      <c r="F39" s="109" t="e">
        <f t="shared" si="3"/>
        <v>#DIV/0!</v>
      </c>
      <c r="G39" s="109" t="e">
        <f t="shared" si="0"/>
        <v>#DIV/0!</v>
      </c>
      <c r="H39" s="109">
        <f>B39-D39</f>
        <v>0</v>
      </c>
      <c r="I39" s="109">
        <f t="shared" si="1"/>
        <v>0</v>
      </c>
    </row>
    <row r="40" spans="1:9" ht="19.5" hidden="1" thickBot="1">
      <c r="A40" s="110" t="s">
        <v>92</v>
      </c>
      <c r="B40" s="111"/>
      <c r="C40" s="111"/>
      <c r="D40" s="111"/>
      <c r="E40" s="109"/>
      <c r="F40" s="109"/>
      <c r="G40" s="109" t="e">
        <f t="shared" si="0"/>
        <v>#DIV/0!</v>
      </c>
      <c r="H40" s="109">
        <f>B40-D40</f>
        <v>0</v>
      </c>
      <c r="I40" s="109">
        <f t="shared" si="1"/>
        <v>0</v>
      </c>
    </row>
    <row r="41" spans="1:9" ht="19.5" thickBot="1">
      <c r="A41" s="14" t="s">
        <v>17</v>
      </c>
      <c r="B41" s="112">
        <v>735.1</v>
      </c>
      <c r="C41" s="53">
        <f>1079.9+40.7-300</f>
        <v>820.6000000000001</v>
      </c>
      <c r="D41" s="54">
        <f>39.9+10-0.1+63.8+32.1+23.9+51.2+20.3+38.8+26.2+1.3+95+24+3.6+45.4</f>
        <v>475.40000000000003</v>
      </c>
      <c r="E41" s="3">
        <f>D41/D137*100</f>
        <v>0.10647890542910496</v>
      </c>
      <c r="F41" s="3">
        <f>D41/B41*100</f>
        <v>64.671473268943</v>
      </c>
      <c r="G41" s="3">
        <f t="shared" si="0"/>
        <v>57.93321959541798</v>
      </c>
      <c r="H41" s="3">
        <f t="shared" si="2"/>
        <v>259.7</v>
      </c>
      <c r="I41" s="3">
        <f t="shared" si="1"/>
        <v>345.2000000000001</v>
      </c>
    </row>
    <row r="42" spans="1:9" ht="12" customHeight="1" thickBot="1">
      <c r="A42" s="31"/>
      <c r="B42" s="62"/>
      <c r="C42" s="63"/>
      <c r="D42" s="64"/>
      <c r="E42" s="7"/>
      <c r="F42" s="7"/>
      <c r="G42" s="7"/>
      <c r="H42" s="7"/>
      <c r="I42" s="7"/>
    </row>
    <row r="43" spans="1:9" ht="18.75" thickBot="1">
      <c r="A43" s="28" t="s">
        <v>55</v>
      </c>
      <c r="B43" s="52">
        <f>4498.3-107.4</f>
        <v>4390.900000000001</v>
      </c>
      <c r="C43" s="53">
        <f>6105.1</f>
        <v>6105.1</v>
      </c>
      <c r="D43" s="54">
        <f>179.7+225.2+3.4+199.4+211.8+7.4+5.4+7.6+190.5+3.4+230.5+100.1+236.3+13.2+11.9+20.5+199.9+0.1+2+33.2+238.5+1.1+16.6+248.3+10.5+35.6+4.4+8.2+8.5+228.9+3.5+278.7-0.2+3.7+234.4+1.4+10+200.7-0.2+36.5+232.6+183.7+2.5+0.5+0.1+200.4+0.6+6.2+1.3</f>
        <v>4078.4999999999995</v>
      </c>
      <c r="E43" s="3">
        <f>D43/D137*100</f>
        <v>0.9134922502999674</v>
      </c>
      <c r="F43" s="3">
        <f>D43/B43*100</f>
        <v>92.8852854767815</v>
      </c>
      <c r="G43" s="3">
        <f aca="true" t="shared" si="4" ref="G43:G73">D43/C43*100</f>
        <v>66.80480254213688</v>
      </c>
      <c r="H43" s="3">
        <f>B43-D43</f>
        <v>312.400000000001</v>
      </c>
      <c r="I43" s="3">
        <f aca="true" t="shared" si="5" ref="I43:I74">C43-D43</f>
        <v>2026.6000000000008</v>
      </c>
    </row>
    <row r="44" spans="1:9" ht="18">
      <c r="A44" s="29" t="s">
        <v>3</v>
      </c>
      <c r="B44" s="49">
        <f>3997.6-91.6</f>
        <v>3906</v>
      </c>
      <c r="C44" s="50">
        <f>5484.1-124.7</f>
        <v>5359.400000000001</v>
      </c>
      <c r="D44" s="51">
        <f>179.7+201.3+187+211.8+190.5+230.5+236.3+199.9+0.1+218.5+248.3+8.2+228.5-0.1+273.7+231.2+200.7+36.5+228.6+183.7-0.1+193.6</f>
        <v>3688.399999999999</v>
      </c>
      <c r="E44" s="1">
        <f>D44/D43*100</f>
        <v>90.4352090229251</v>
      </c>
      <c r="F44" s="1">
        <f aca="true" t="shared" si="6" ref="F44:F71">D44/B44*100</f>
        <v>94.4290834613415</v>
      </c>
      <c r="G44" s="1">
        <f t="shared" si="4"/>
        <v>68.82113669440606</v>
      </c>
      <c r="H44" s="1">
        <f aca="true" t="shared" si="7" ref="H44:H71">B44-D44</f>
        <v>217.60000000000082</v>
      </c>
      <c r="I44" s="1">
        <f t="shared" si="5"/>
        <v>1671.0000000000014</v>
      </c>
    </row>
    <row r="45" spans="1:9" ht="18">
      <c r="A45" s="29" t="s">
        <v>2</v>
      </c>
      <c r="B45" s="49">
        <v>1</v>
      </c>
      <c r="C45" s="50">
        <v>1</v>
      </c>
      <c r="D45" s="51">
        <f>0.3+0.5+0.2</f>
        <v>1</v>
      </c>
      <c r="E45" s="1">
        <f>D45/D43*100</f>
        <v>0.0245188181929631</v>
      </c>
      <c r="F45" s="1">
        <f t="shared" si="6"/>
        <v>100</v>
      </c>
      <c r="G45" s="1">
        <f t="shared" si="4"/>
        <v>100</v>
      </c>
      <c r="H45" s="1">
        <f t="shared" si="7"/>
        <v>0</v>
      </c>
      <c r="I45" s="1">
        <f t="shared" si="5"/>
        <v>0</v>
      </c>
    </row>
    <row r="46" spans="1:9" ht="18">
      <c r="A46" s="29" t="s">
        <v>1</v>
      </c>
      <c r="B46" s="49">
        <f>21.9+2.5-3.9</f>
        <v>20.5</v>
      </c>
      <c r="C46" s="50">
        <f>35.1+9.9</f>
        <v>45</v>
      </c>
      <c r="D46" s="51">
        <f>3.2+3.4-0.1+3.7+3.6+3.5+3.2</f>
        <v>20.499999999999996</v>
      </c>
      <c r="E46" s="1">
        <f>D46/D43*100</f>
        <v>0.5026357729557435</v>
      </c>
      <c r="F46" s="1">
        <f t="shared" si="6"/>
        <v>99.99999999999997</v>
      </c>
      <c r="G46" s="1">
        <f t="shared" si="4"/>
        <v>45.55555555555555</v>
      </c>
      <c r="H46" s="1">
        <f t="shared" si="7"/>
        <v>0</v>
      </c>
      <c r="I46" s="1">
        <f t="shared" si="5"/>
        <v>24.500000000000004</v>
      </c>
    </row>
    <row r="47" spans="1:9" ht="18">
      <c r="A47" s="29" t="s">
        <v>0</v>
      </c>
      <c r="B47" s="49">
        <f>216.7-11.9</f>
        <v>204.79999999999998</v>
      </c>
      <c r="C47" s="50">
        <f>358+23.1</f>
        <v>381.1</v>
      </c>
      <c r="D47" s="51">
        <f>23.1+2.7+0.5+0.4+5.2+0.6+99.9+12.6+20.5-0.1+2+19.6+1.1+0.5+4.4+0.4+3.4+4+2.3+0.3+1.3</f>
        <v>204.70000000000005</v>
      </c>
      <c r="E47" s="1">
        <f>D47/D43*100</f>
        <v>5.019002084099548</v>
      </c>
      <c r="F47" s="1">
        <f t="shared" si="6"/>
        <v>99.95117187500003</v>
      </c>
      <c r="G47" s="1">
        <f t="shared" si="4"/>
        <v>53.71293623720808</v>
      </c>
      <c r="H47" s="1">
        <f t="shared" si="7"/>
        <v>0.09999999999993747</v>
      </c>
      <c r="I47" s="1">
        <f t="shared" si="5"/>
        <v>176.39999999999998</v>
      </c>
    </row>
    <row r="48" spans="1:9" ht="18.75" thickBot="1">
      <c r="A48" s="29" t="s">
        <v>35</v>
      </c>
      <c r="B48" s="50">
        <f>B43-B44-B47-B46-B45</f>
        <v>258.6000000000006</v>
      </c>
      <c r="C48" s="50">
        <f>C43-C44-C47-C46-C45</f>
        <v>318.5999999999998</v>
      </c>
      <c r="D48" s="50">
        <f>D43-D44-D47-D46-D45</f>
        <v>163.90000000000032</v>
      </c>
      <c r="E48" s="1">
        <f>D48/D43*100</f>
        <v>4.01863430182666</v>
      </c>
      <c r="F48" s="1">
        <f t="shared" si="6"/>
        <v>63.37973704563029</v>
      </c>
      <c r="G48" s="1">
        <f t="shared" si="4"/>
        <v>51.44381669805412</v>
      </c>
      <c r="H48" s="1">
        <f t="shared" si="7"/>
        <v>94.70000000000027</v>
      </c>
      <c r="I48" s="1">
        <f t="shared" si="5"/>
        <v>154.69999999999948</v>
      </c>
    </row>
    <row r="49" spans="1:9" ht="18.75" thickBot="1">
      <c r="A49" s="28" t="s">
        <v>4</v>
      </c>
      <c r="B49" s="52">
        <f>8952.4-99.8</f>
        <v>8852.6</v>
      </c>
      <c r="C49" s="53">
        <f>12054.8+85.4</f>
        <v>12140.199999999999</v>
      </c>
      <c r="D49" s="54">
        <f>282.8+343.5+104.6+27.4+31.1+70.8+315.1+27.8+66.3+5+25+425.5+95.6+8.8+334.8+43.9+50.2+364.8+68.9-0.1+79.4+50+73.4+231.6+28.9+39.3+89.2+10.3+6.7+27.5+358.6+70.2+0.2+53.9+3+100+69.1+15.3+319.6+25.2+72.3+402.7+50+64.4-0.1+15.8+0.1+76.2+297.5+4.3+4.8+73.5+563.3+1.5+0.1+50+6.4+90.2+334.1+56.6+50+80.7+22.4+240.9+61.2+200.9+53.5+0.7+14.5+6.8+201.2+0.2+176.7+5.6+66.5+10.8+4.5+321.6+38.9+2.3+19.8+74.8</f>
        <v>8161.4</v>
      </c>
      <c r="E49" s="3">
        <f>D49/D137*100</f>
        <v>1.827970001617789</v>
      </c>
      <c r="F49" s="3">
        <f>D49/B49*100</f>
        <v>92.19212434764927</v>
      </c>
      <c r="G49" s="3">
        <f t="shared" si="4"/>
        <v>67.22624009489135</v>
      </c>
      <c r="H49" s="3">
        <f>B49-D49</f>
        <v>691.2000000000007</v>
      </c>
      <c r="I49" s="3">
        <f t="shared" si="5"/>
        <v>3978.7999999999993</v>
      </c>
    </row>
    <row r="50" spans="1:9" ht="18">
      <c r="A50" s="29" t="s">
        <v>3</v>
      </c>
      <c r="B50" s="49">
        <f>5653.6-6.7</f>
        <v>5646.900000000001</v>
      </c>
      <c r="C50" s="50">
        <f>7727-234.9</f>
        <v>7492.1</v>
      </c>
      <c r="D50" s="51">
        <f>282.8+343.5+279.8+360.5+269.9+364.8-0.1+7.2+231.6+28.9+358.6+269.6+381.2-0.1+7.2+297.2+563.3+0.1+313.9+22.4+240.9+0.1+181.6+201.2+250.5</f>
        <v>5256.599999999999</v>
      </c>
      <c r="E50" s="1">
        <f>D50/D49*100</f>
        <v>64.40806724336511</v>
      </c>
      <c r="F50" s="1">
        <f t="shared" si="6"/>
        <v>93.08824310683737</v>
      </c>
      <c r="G50" s="1">
        <f t="shared" si="4"/>
        <v>70.16190387207858</v>
      </c>
      <c r="H50" s="1">
        <f t="shared" si="7"/>
        <v>390.3000000000011</v>
      </c>
      <c r="I50" s="1">
        <f t="shared" si="5"/>
        <v>2235.500000000001</v>
      </c>
    </row>
    <row r="51" spans="1:9" ht="18">
      <c r="A51" s="29" t="s">
        <v>2</v>
      </c>
      <c r="B51" s="49">
        <f>3.3-2</f>
        <v>1.2999999999999998</v>
      </c>
      <c r="C51" s="50">
        <v>9.7</v>
      </c>
      <c r="D51" s="51">
        <f>0.5</f>
        <v>0.5</v>
      </c>
      <c r="E51" s="12">
        <f>D51/D49*100</f>
        <v>0.006126399882373123</v>
      </c>
      <c r="F51" s="1">
        <f t="shared" si="6"/>
        <v>38.46153846153847</v>
      </c>
      <c r="G51" s="1">
        <f t="shared" si="4"/>
        <v>5.154639175257732</v>
      </c>
      <c r="H51" s="1">
        <f t="shared" si="7"/>
        <v>0.7999999999999998</v>
      </c>
      <c r="I51" s="1">
        <f t="shared" si="5"/>
        <v>9.2</v>
      </c>
    </row>
    <row r="52" spans="1:9" ht="18">
      <c r="A52" s="29" t="s">
        <v>1</v>
      </c>
      <c r="B52" s="49">
        <f>214.7-10.8-75.5</f>
        <v>128.39999999999998</v>
      </c>
      <c r="C52" s="50">
        <v>325</v>
      </c>
      <c r="D52" s="51">
        <f>2.4+4.2+4.2+8.7+3.1+5.2-0.1+2.3+6.7+7.1+0.1+3.9+3.5+21.5+2.5-0.1+4.3+17.5+11.1+0.7-0.1+5.1+1.5+0.9</f>
        <v>116.20000000000002</v>
      </c>
      <c r="E52" s="1">
        <f>D52/D49*100</f>
        <v>1.4237753326635139</v>
      </c>
      <c r="F52" s="1">
        <f t="shared" si="6"/>
        <v>90.49844236760127</v>
      </c>
      <c r="G52" s="1">
        <f t="shared" si="4"/>
        <v>35.753846153846155</v>
      </c>
      <c r="H52" s="1">
        <f t="shared" si="7"/>
        <v>12.19999999999996</v>
      </c>
      <c r="I52" s="1">
        <f t="shared" si="5"/>
        <v>208.79999999999998</v>
      </c>
    </row>
    <row r="53" spans="1:9" ht="18">
      <c r="A53" s="29" t="s">
        <v>0</v>
      </c>
      <c r="B53" s="49">
        <f>265.2-15.6</f>
        <v>249.6</v>
      </c>
      <c r="C53" s="50">
        <f>534.1-3</f>
        <v>531.1</v>
      </c>
      <c r="D53" s="51">
        <f>6+11+5+10.4+0.1+20.8+16+0.1+76.5+39.2+7.7+0.3+8.1+0.1+0.2+12-0.1+0.1+4.7+0.1+6.4+2.7+8.2+0.3+5.7+1.7+0.9</f>
        <v>244.1999999999999</v>
      </c>
      <c r="E53" s="1">
        <f>D53/D49*100</f>
        <v>2.992133702551032</v>
      </c>
      <c r="F53" s="1">
        <f t="shared" si="6"/>
        <v>97.83653846153842</v>
      </c>
      <c r="G53" s="1">
        <f t="shared" si="4"/>
        <v>45.98004142346072</v>
      </c>
      <c r="H53" s="1">
        <f t="shared" si="7"/>
        <v>5.400000000000091</v>
      </c>
      <c r="I53" s="1">
        <f t="shared" si="5"/>
        <v>286.9000000000001</v>
      </c>
    </row>
    <row r="54" spans="1:9" ht="18.75" thickBot="1">
      <c r="A54" s="29" t="s">
        <v>35</v>
      </c>
      <c r="B54" s="50">
        <f>B49-B50-B53-B52-B51</f>
        <v>2826.3999999999996</v>
      </c>
      <c r="C54" s="50">
        <f>C49-C50-C53-C52-C51</f>
        <v>3782.2999999999984</v>
      </c>
      <c r="D54" s="50">
        <f>D49-D50-D53-D52-D51</f>
        <v>2543.9000000000005</v>
      </c>
      <c r="E54" s="1">
        <f>D54/D49*100</f>
        <v>31.16989732153798</v>
      </c>
      <c r="F54" s="1">
        <f t="shared" si="6"/>
        <v>90.00495329748092</v>
      </c>
      <c r="G54" s="1">
        <f t="shared" si="4"/>
        <v>67.2580176083336</v>
      </c>
      <c r="H54" s="1">
        <f t="shared" si="7"/>
        <v>282.4999999999991</v>
      </c>
      <c r="I54" s="1">
        <f>C54-D54</f>
        <v>1238.3999999999978</v>
      </c>
    </row>
    <row r="55" spans="1:9" s="44" customFormat="1" ht="19.5" hidden="1" thickBot="1">
      <c r="A55" s="110" t="s">
        <v>89</v>
      </c>
      <c r="B55" s="108"/>
      <c r="C55" s="108"/>
      <c r="D55" s="108"/>
      <c r="E55" s="1"/>
      <c r="F55" s="109" t="e">
        <f t="shared" si="6"/>
        <v>#DIV/0!</v>
      </c>
      <c r="G55" s="109" t="e">
        <f t="shared" si="4"/>
        <v>#DIV/0!</v>
      </c>
      <c r="H55" s="109">
        <f t="shared" si="7"/>
        <v>0</v>
      </c>
      <c r="I55" s="109">
        <f>C55-D55</f>
        <v>0</v>
      </c>
    </row>
    <row r="56" spans="1:9" ht="18.75" thickBot="1">
      <c r="A56" s="28" t="s">
        <v>6</v>
      </c>
      <c r="B56" s="52">
        <f>2597.7-23.8</f>
        <v>2573.8999999999996</v>
      </c>
      <c r="C56" s="53">
        <f>3908.9-890.1</f>
        <v>3018.8</v>
      </c>
      <c r="D56" s="54">
        <f>128-60.9+102.5+11.8+75.2+16.7+4.5+87.9+0.1+68.6+30.5+35.2+2.4+30+93-9.8+0.1+1.7+68.5+10.2+1.8+24.5+103.7+27.9-0.2+10.2+8.1+67+7.8+116.4+1.9+0.1+112.6+7.7+3.6+49.7+2.7+83+1.2+238+33+52.1+52.4+257+25.7+26.3+35+121+60.8+143.6+30.8+42.6+0.3+1.3+0.9+44.2+1.2+0.2</f>
        <v>2492.3</v>
      </c>
      <c r="E56" s="3">
        <f>D56/D137*100</f>
        <v>0.5582191333633956</v>
      </c>
      <c r="F56" s="3">
        <f>D56/B56*100</f>
        <v>96.82971366408954</v>
      </c>
      <c r="G56" s="3">
        <f t="shared" si="4"/>
        <v>82.55929508413939</v>
      </c>
      <c r="H56" s="3">
        <f>B56-D56</f>
        <v>81.59999999999945</v>
      </c>
      <c r="I56" s="3">
        <f t="shared" si="5"/>
        <v>526.5</v>
      </c>
    </row>
    <row r="57" spans="1:9" ht="18">
      <c r="A57" s="29" t="s">
        <v>3</v>
      </c>
      <c r="B57" s="49">
        <f>1450.3-18.9</f>
        <v>1431.3999999999999</v>
      </c>
      <c r="C57" s="50">
        <f>2589.6-887.6+7.9</f>
        <v>1709.9</v>
      </c>
      <c r="D57" s="51">
        <f>128-60.9+102.5+75.2+87.9+68.6+30+93+68.5+96.9-0.1+67+116.4+112.6+49.7+83+52.4+24.4+26.2+0.2+55.4+42.6+44.2</f>
        <v>1363.7000000000003</v>
      </c>
      <c r="E57" s="1">
        <f>D57/D56*100</f>
        <v>54.71652690286082</v>
      </c>
      <c r="F57" s="1">
        <f t="shared" si="6"/>
        <v>95.2703646779377</v>
      </c>
      <c r="G57" s="1">
        <f t="shared" si="4"/>
        <v>79.75320194163402</v>
      </c>
      <c r="H57" s="1">
        <f t="shared" si="7"/>
        <v>67.69999999999959</v>
      </c>
      <c r="I57" s="1">
        <f t="shared" si="5"/>
        <v>346.1999999999998</v>
      </c>
    </row>
    <row r="58" spans="1:9" ht="18">
      <c r="A58" s="29" t="s">
        <v>1</v>
      </c>
      <c r="B58" s="49">
        <v>181.4</v>
      </c>
      <c r="C58" s="50">
        <f>188.9-7.5</f>
        <v>181.4</v>
      </c>
      <c r="D58" s="51">
        <f>33+49+35+64.4</f>
        <v>181.4</v>
      </c>
      <c r="E58" s="1">
        <f>D58/D56*100</f>
        <v>7.278417525980019</v>
      </c>
      <c r="F58" s="1">
        <f t="shared" si="6"/>
        <v>100</v>
      </c>
      <c r="G58" s="1">
        <f t="shared" si="4"/>
        <v>100</v>
      </c>
      <c r="H58" s="1">
        <f t="shared" si="7"/>
        <v>0</v>
      </c>
      <c r="I58" s="1">
        <f t="shared" si="5"/>
        <v>0</v>
      </c>
    </row>
    <row r="59" spans="1:9" ht="18">
      <c r="A59" s="29" t="s">
        <v>0</v>
      </c>
      <c r="B59" s="49">
        <f>135.4-4.9</f>
        <v>130.5</v>
      </c>
      <c r="C59" s="50">
        <f>297.4-9.5</f>
        <v>287.9</v>
      </c>
      <c r="D59" s="51">
        <f>4.5+4.5+30.5+35.2+10+24.5+10.2+0.1+1.9+1.8+3+1.2+0.9+0.8</f>
        <v>129.10000000000002</v>
      </c>
      <c r="E59" s="1">
        <f>D59/D56*100</f>
        <v>5.179954259118085</v>
      </c>
      <c r="F59" s="1">
        <f t="shared" si="6"/>
        <v>98.92720306513412</v>
      </c>
      <c r="G59" s="1">
        <f t="shared" si="4"/>
        <v>44.841959013546386</v>
      </c>
      <c r="H59" s="1">
        <f t="shared" si="7"/>
        <v>1.3999999999999773</v>
      </c>
      <c r="I59" s="1">
        <f t="shared" si="5"/>
        <v>158.79999999999995</v>
      </c>
    </row>
    <row r="60" spans="1:9" ht="18">
      <c r="A60" s="29" t="s">
        <v>15</v>
      </c>
      <c r="B60" s="49">
        <v>728.3</v>
      </c>
      <c r="C60" s="50">
        <f>728.7-0.4</f>
        <v>728.3000000000001</v>
      </c>
      <c r="D60" s="51">
        <f>238+257+58.9+143.6+30.7+0.1</f>
        <v>728.3000000000001</v>
      </c>
      <c r="E60" s="1">
        <f>D60/D56*100</f>
        <v>29.222003771616578</v>
      </c>
      <c r="F60" s="1">
        <f t="shared" si="6"/>
        <v>100.00000000000003</v>
      </c>
      <c r="G60" s="1">
        <f t="shared" si="4"/>
        <v>100</v>
      </c>
      <c r="H60" s="1">
        <f t="shared" si="7"/>
        <v>0</v>
      </c>
      <c r="I60" s="1">
        <f t="shared" si="5"/>
        <v>0</v>
      </c>
    </row>
    <row r="61" spans="1:9" ht="18.75" thickBot="1">
      <c r="A61" s="29" t="s">
        <v>35</v>
      </c>
      <c r="B61" s="50">
        <f>B56-B57-B59-B60-B58</f>
        <v>102.29999999999981</v>
      </c>
      <c r="C61" s="50">
        <f>C56-C57-C59-C60-C58</f>
        <v>111.30000000000004</v>
      </c>
      <c r="D61" s="50">
        <f>D56-D57-D59-D60-D58</f>
        <v>89.79999999999981</v>
      </c>
      <c r="E61" s="1">
        <f>D61/D56*100</f>
        <v>3.6030975404245</v>
      </c>
      <c r="F61" s="1">
        <f t="shared" si="6"/>
        <v>87.78103616813291</v>
      </c>
      <c r="G61" s="1">
        <f t="shared" si="4"/>
        <v>80.68283917340501</v>
      </c>
      <c r="H61" s="1">
        <f t="shared" si="7"/>
        <v>12.5</v>
      </c>
      <c r="I61" s="1">
        <f t="shared" si="5"/>
        <v>21.500000000000227</v>
      </c>
    </row>
    <row r="62" spans="1:9" s="44" customFormat="1" ht="19.5" hidden="1" thickBot="1">
      <c r="A62" s="110" t="s">
        <v>100</v>
      </c>
      <c r="B62" s="108"/>
      <c r="C62" s="108"/>
      <c r="D62" s="108"/>
      <c r="E62" s="109"/>
      <c r="F62" s="109" t="e">
        <f>D62/B62*100</f>
        <v>#DIV/0!</v>
      </c>
      <c r="G62" s="109" t="e">
        <f>D62/C62*100</f>
        <v>#DIV/0!</v>
      </c>
      <c r="H62" s="109">
        <f t="shared" si="7"/>
        <v>0</v>
      </c>
      <c r="I62" s="109">
        <f t="shared" si="5"/>
        <v>0</v>
      </c>
    </row>
    <row r="63" spans="1:9" s="44" customFormat="1" ht="19.5" hidden="1" thickBot="1">
      <c r="A63" s="110" t="s">
        <v>86</v>
      </c>
      <c r="B63" s="108"/>
      <c r="C63" s="108"/>
      <c r="D63" s="108"/>
      <c r="E63" s="109"/>
      <c r="F63" s="109" t="e">
        <f t="shared" si="6"/>
        <v>#DIV/0!</v>
      </c>
      <c r="G63" s="109" t="e">
        <f t="shared" si="4"/>
        <v>#DIV/0!</v>
      </c>
      <c r="H63" s="109">
        <f t="shared" si="7"/>
        <v>0</v>
      </c>
      <c r="I63" s="109">
        <f t="shared" si="5"/>
        <v>0</v>
      </c>
    </row>
    <row r="64" spans="1:9" s="44" customFormat="1" ht="19.5" hidden="1" thickBot="1">
      <c r="A64" s="110" t="s">
        <v>87</v>
      </c>
      <c r="B64" s="108"/>
      <c r="C64" s="108"/>
      <c r="D64" s="108"/>
      <c r="E64" s="109"/>
      <c r="F64" s="109" t="e">
        <f t="shared" si="6"/>
        <v>#DIV/0!</v>
      </c>
      <c r="G64" s="109" t="e">
        <f t="shared" si="4"/>
        <v>#DIV/0!</v>
      </c>
      <c r="H64" s="109">
        <f t="shared" si="7"/>
        <v>0</v>
      </c>
      <c r="I64" s="109">
        <f t="shared" si="5"/>
        <v>0</v>
      </c>
    </row>
    <row r="65" spans="1:9" s="44" customFormat="1" ht="19.5" hidden="1" thickBot="1">
      <c r="A65" s="110" t="s">
        <v>88</v>
      </c>
      <c r="B65" s="108"/>
      <c r="C65" s="108"/>
      <c r="D65" s="108"/>
      <c r="E65" s="109"/>
      <c r="F65" s="109" t="e">
        <f t="shared" si="6"/>
        <v>#DIV/0!</v>
      </c>
      <c r="G65" s="109" t="e">
        <f t="shared" si="4"/>
        <v>#DIV/0!</v>
      </c>
      <c r="H65" s="109">
        <f t="shared" si="7"/>
        <v>0</v>
      </c>
      <c r="I65" s="109">
        <f t="shared" si="5"/>
        <v>0</v>
      </c>
    </row>
    <row r="66" spans="1:9" ht="18.75" thickBot="1">
      <c r="A66" s="28" t="s">
        <v>24</v>
      </c>
      <c r="B66" s="53">
        <f>B67+B68</f>
        <v>343.5</v>
      </c>
      <c r="C66" s="53">
        <f>C67+C68</f>
        <v>460</v>
      </c>
      <c r="D66" s="54">
        <f>SUM(D67:D68)</f>
        <v>1.4</v>
      </c>
      <c r="E66" s="42">
        <f>D66/D137*100</f>
        <v>0.00031356850568099894</v>
      </c>
      <c r="F66" s="113">
        <f>D66/B66*100</f>
        <v>0.40756914119359533</v>
      </c>
      <c r="G66" s="3">
        <f t="shared" si="4"/>
        <v>0.30434782608695654</v>
      </c>
      <c r="H66" s="3">
        <f>B66-D66</f>
        <v>342.1</v>
      </c>
      <c r="I66" s="3">
        <f t="shared" si="5"/>
        <v>458.6</v>
      </c>
    </row>
    <row r="67" spans="1:9" ht="18">
      <c r="A67" s="29" t="s">
        <v>8</v>
      </c>
      <c r="B67" s="49">
        <v>209.3</v>
      </c>
      <c r="C67" s="50">
        <v>257.4</v>
      </c>
      <c r="D67" s="51">
        <f>1.4</f>
        <v>1.4</v>
      </c>
      <c r="E67" s="1"/>
      <c r="F67" s="1">
        <f t="shared" si="6"/>
        <v>0.668896321070234</v>
      </c>
      <c r="G67" s="1">
        <f t="shared" si="4"/>
        <v>0.5439005439005439</v>
      </c>
      <c r="H67" s="1">
        <f t="shared" si="7"/>
        <v>207.9</v>
      </c>
      <c r="I67" s="1">
        <f t="shared" si="5"/>
        <v>255.99999999999997</v>
      </c>
    </row>
    <row r="68" spans="1:9" ht="18.75" thickBot="1">
      <c r="A68" s="29" t="s">
        <v>9</v>
      </c>
      <c r="B68" s="49">
        <v>134.2</v>
      </c>
      <c r="C68" s="50">
        <v>202.6</v>
      </c>
      <c r="D68" s="51"/>
      <c r="E68" s="1"/>
      <c r="F68" s="1">
        <f t="shared" si="6"/>
        <v>0</v>
      </c>
      <c r="G68" s="1">
        <f t="shared" si="4"/>
        <v>0</v>
      </c>
      <c r="H68" s="1">
        <f t="shared" si="7"/>
        <v>134.2</v>
      </c>
      <c r="I68" s="1">
        <f t="shared" si="5"/>
        <v>202.6</v>
      </c>
    </row>
    <row r="69" spans="1:9" ht="38.25" hidden="1" thickBot="1">
      <c r="A69" s="14" t="s">
        <v>51</v>
      </c>
      <c r="B69" s="61"/>
      <c r="C69" s="53">
        <f>C70+C71+C72+C73</f>
        <v>0</v>
      </c>
      <c r="D69" s="53">
        <f>D70+D71+D72+D73</f>
        <v>0</v>
      </c>
      <c r="E69" s="3">
        <f>D69/D137*100</f>
        <v>0</v>
      </c>
      <c r="F69" s="3" t="e">
        <f>D69/B69*100</f>
        <v>#DIV/0!</v>
      </c>
      <c r="G69" s="3" t="e">
        <f t="shared" si="4"/>
        <v>#DIV/0!</v>
      </c>
      <c r="H69" s="3">
        <f>B69-D69</f>
        <v>0</v>
      </c>
      <c r="I69" s="3">
        <f t="shared" si="5"/>
        <v>0</v>
      </c>
    </row>
    <row r="70" spans="1:9" ht="19.5" hidden="1" thickBot="1">
      <c r="A70" s="23" t="s">
        <v>57</v>
      </c>
      <c r="B70" s="58"/>
      <c r="C70" s="65"/>
      <c r="D70" s="56"/>
      <c r="E70" s="37" t="e">
        <f>D70/D69*100</f>
        <v>#DIV/0!</v>
      </c>
      <c r="F70" s="1" t="e">
        <f t="shared" si="6"/>
        <v>#DIV/0!</v>
      </c>
      <c r="G70" s="1" t="e">
        <f t="shared" si="4"/>
        <v>#DIV/0!</v>
      </c>
      <c r="H70" s="1">
        <f t="shared" si="7"/>
        <v>0</v>
      </c>
      <c r="I70" s="1">
        <f t="shared" si="5"/>
        <v>0</v>
      </c>
    </row>
    <row r="71" spans="1:9" ht="19.5" hidden="1" thickBot="1">
      <c r="A71" s="23" t="s">
        <v>58</v>
      </c>
      <c r="B71" s="58"/>
      <c r="C71" s="65"/>
      <c r="D71" s="56"/>
      <c r="E71" s="37" t="e">
        <f>D71/D69*100</f>
        <v>#DIV/0!</v>
      </c>
      <c r="F71" s="1" t="e">
        <f t="shared" si="6"/>
        <v>#DIV/0!</v>
      </c>
      <c r="G71" s="1" t="e">
        <f t="shared" si="4"/>
        <v>#DIV/0!</v>
      </c>
      <c r="H71" s="1">
        <f t="shared" si="7"/>
        <v>0</v>
      </c>
      <c r="I71" s="1">
        <f t="shared" si="5"/>
        <v>0</v>
      </c>
    </row>
    <row r="72" spans="1:9" ht="19.5" hidden="1" thickBot="1">
      <c r="A72" s="30" t="s">
        <v>42</v>
      </c>
      <c r="B72" s="66"/>
      <c r="C72" s="67"/>
      <c r="D72" s="68"/>
      <c r="E72" s="37" t="e">
        <f>D72/D69*100</f>
        <v>#DIV/0!</v>
      </c>
      <c r="F72" s="37"/>
      <c r="G72" s="1" t="e">
        <f t="shared" si="4"/>
        <v>#DIV/0!</v>
      </c>
      <c r="H72" s="1"/>
      <c r="I72" s="1">
        <f t="shared" si="5"/>
        <v>0</v>
      </c>
    </row>
    <row r="73" spans="1:9" ht="19.5" hidden="1" thickBot="1">
      <c r="A73" s="30" t="s">
        <v>52</v>
      </c>
      <c r="B73" s="66"/>
      <c r="C73" s="67"/>
      <c r="D73" s="68"/>
      <c r="E73" s="37" t="e">
        <f>D73/D69*100</f>
        <v>#DIV/0!</v>
      </c>
      <c r="F73" s="37"/>
      <c r="G73" s="1" t="e">
        <f t="shared" si="4"/>
        <v>#DIV/0!</v>
      </c>
      <c r="H73" s="1"/>
      <c r="I73" s="1">
        <f t="shared" si="5"/>
        <v>0</v>
      </c>
    </row>
    <row r="74" spans="1:9" s="44" customFormat="1" ht="19.5" thickBot="1">
      <c r="A74" s="31" t="s">
        <v>14</v>
      </c>
      <c r="B74" s="62">
        <v>300</v>
      </c>
      <c r="C74" s="69">
        <v>400</v>
      </c>
      <c r="D74" s="70"/>
      <c r="E74" s="48"/>
      <c r="F74" s="48"/>
      <c r="G74" s="48"/>
      <c r="H74" s="48">
        <f>B74-D74</f>
        <v>300</v>
      </c>
      <c r="I74" s="48">
        <f t="shared" si="5"/>
        <v>400</v>
      </c>
    </row>
    <row r="75" spans="1:9" ht="8.25" customHeight="1" thickBot="1">
      <c r="A75" s="23"/>
      <c r="B75" s="58"/>
      <c r="C75" s="67"/>
      <c r="D75" s="68"/>
      <c r="E75" s="6"/>
      <c r="F75" s="6"/>
      <c r="G75" s="6"/>
      <c r="H75" s="6"/>
      <c r="I75" s="13"/>
    </row>
    <row r="76" spans="1:9" ht="18.75" customHeight="1" hidden="1" thickBot="1">
      <c r="A76" s="14" t="s">
        <v>80</v>
      </c>
      <c r="B76" s="61"/>
      <c r="C76" s="53">
        <f>C77+C78</f>
        <v>0</v>
      </c>
      <c r="D76" s="53">
        <f>D77+D78</f>
        <v>0</v>
      </c>
      <c r="E76" s="3">
        <f>D76/D137*100</f>
        <v>0</v>
      </c>
      <c r="F76" s="3" t="e">
        <f>D76/B76*100</f>
        <v>#DIV/0!</v>
      </c>
      <c r="G76" s="3" t="e">
        <f aca="true" t="shared" si="8" ref="G76:G90">D76/C76*100</f>
        <v>#DIV/0!</v>
      </c>
      <c r="H76" s="3">
        <f>B76-D76</f>
        <v>0</v>
      </c>
      <c r="I76" s="3">
        <f aca="true" t="shared" si="9" ref="I76:I90">C76-D76</f>
        <v>0</v>
      </c>
    </row>
    <row r="77" spans="1:9" s="8" customFormat="1" ht="18.75" hidden="1" thickBot="1">
      <c r="A77" s="9" t="s">
        <v>79</v>
      </c>
      <c r="B77" s="71"/>
      <c r="C77" s="50">
        <f>50-50</f>
        <v>0</v>
      </c>
      <c r="D77" s="51"/>
      <c r="E77" s="107"/>
      <c r="F77" s="1" t="e">
        <f>D77/B77*100</f>
        <v>#DIV/0!</v>
      </c>
      <c r="G77" s="1" t="e">
        <f t="shared" si="8"/>
        <v>#DIV/0!</v>
      </c>
      <c r="H77" s="1">
        <f>B77-D77</f>
        <v>0</v>
      </c>
      <c r="I77" s="1">
        <f t="shared" si="9"/>
        <v>0</v>
      </c>
    </row>
    <row r="78" spans="1:9" s="8" customFormat="1" ht="31.5" hidden="1" thickBot="1">
      <c r="A78" s="9" t="s">
        <v>71</v>
      </c>
      <c r="B78" s="71"/>
      <c r="C78" s="50"/>
      <c r="D78" s="51"/>
      <c r="E78" s="107"/>
      <c r="F78" s="1" t="e">
        <f>D78/B78*100</f>
        <v>#DIV/0!</v>
      </c>
      <c r="G78" s="1" t="e">
        <f t="shared" si="8"/>
        <v>#DIV/0!</v>
      </c>
      <c r="H78" s="1">
        <f>B78-D78</f>
        <v>0</v>
      </c>
      <c r="I78" s="1">
        <f t="shared" si="9"/>
        <v>0</v>
      </c>
    </row>
    <row r="79" spans="1:9" s="8" customFormat="1" ht="16.5" customHeight="1" hidden="1">
      <c r="A79" s="9" t="s">
        <v>41</v>
      </c>
      <c r="B79" s="71"/>
      <c r="C79" s="50"/>
      <c r="D79" s="51"/>
      <c r="E79" s="1" t="e">
        <f>D79/D76*100</f>
        <v>#DIV/0!</v>
      </c>
      <c r="F79" s="1"/>
      <c r="G79" s="1" t="e">
        <f t="shared" si="8"/>
        <v>#DIV/0!</v>
      </c>
      <c r="H79" s="1"/>
      <c r="I79" s="1">
        <f t="shared" si="9"/>
        <v>0</v>
      </c>
    </row>
    <row r="80" spans="1:9" s="8" customFormat="1" ht="33" customHeight="1" hidden="1" thickBot="1">
      <c r="A80" s="9" t="s">
        <v>48</v>
      </c>
      <c r="B80" s="71"/>
      <c r="C80" s="50"/>
      <c r="D80" s="50"/>
      <c r="E80" s="1" t="e">
        <f>D80/D76*100</f>
        <v>#DIV/0!</v>
      </c>
      <c r="F80" s="1"/>
      <c r="G80" s="1" t="e">
        <f t="shared" si="8"/>
        <v>#DIV/0!</v>
      </c>
      <c r="H80" s="1"/>
      <c r="I80" s="1">
        <f t="shared" si="9"/>
        <v>0</v>
      </c>
    </row>
    <row r="81" spans="1:9" ht="35.25" customHeight="1" hidden="1" thickBot="1">
      <c r="A81" s="14" t="s">
        <v>43</v>
      </c>
      <c r="B81" s="61"/>
      <c r="C81" s="53">
        <f>C82+C83</f>
        <v>0</v>
      </c>
      <c r="D81" s="53">
        <f>D82+D83</f>
        <v>0</v>
      </c>
      <c r="E81" s="3">
        <f>D81/D137*100</f>
        <v>0</v>
      </c>
      <c r="F81" s="3"/>
      <c r="G81" s="3" t="e">
        <f t="shared" si="8"/>
        <v>#DIV/0!</v>
      </c>
      <c r="H81" s="3"/>
      <c r="I81" s="3">
        <f t="shared" si="9"/>
        <v>0</v>
      </c>
    </row>
    <row r="82" spans="1:9" ht="16.5" customHeight="1" hidden="1">
      <c r="A82" s="29" t="s">
        <v>30</v>
      </c>
      <c r="B82" s="49"/>
      <c r="C82" s="67"/>
      <c r="D82" s="67"/>
      <c r="E82" s="6" t="e">
        <f>D82/D81*100</f>
        <v>#DIV/0!</v>
      </c>
      <c r="F82" s="6"/>
      <c r="G82" s="6" t="e">
        <f t="shared" si="8"/>
        <v>#DIV/0!</v>
      </c>
      <c r="H82" s="6"/>
      <c r="I82" s="1">
        <f t="shared" si="9"/>
        <v>0</v>
      </c>
    </row>
    <row r="83" spans="1:9" ht="16.5" customHeight="1" hidden="1" thickBot="1">
      <c r="A83" s="29" t="s">
        <v>31</v>
      </c>
      <c r="B83" s="49"/>
      <c r="C83" s="67"/>
      <c r="D83" s="67"/>
      <c r="E83" s="6" t="e">
        <f>D83/D81*100</f>
        <v>#DIV/0!</v>
      </c>
      <c r="F83" s="6"/>
      <c r="G83" s="6" t="e">
        <f t="shared" si="8"/>
        <v>#DIV/0!</v>
      </c>
      <c r="H83" s="6"/>
      <c r="I83" s="1">
        <f t="shared" si="9"/>
        <v>0</v>
      </c>
    </row>
    <row r="84" spans="1:9" ht="34.5" customHeight="1" hidden="1" thickBot="1">
      <c r="A84" s="14" t="s">
        <v>44</v>
      </c>
      <c r="B84" s="61"/>
      <c r="C84" s="53">
        <f>SUM(C85:C86)</f>
        <v>0</v>
      </c>
      <c r="D84" s="53">
        <f>SUM(D85:D86)</f>
        <v>0</v>
      </c>
      <c r="E84" s="3">
        <f>D84/D137*100</f>
        <v>0</v>
      </c>
      <c r="F84" s="3"/>
      <c r="G84" s="3" t="e">
        <f t="shared" si="8"/>
        <v>#DIV/0!</v>
      </c>
      <c r="H84" s="3"/>
      <c r="I84" s="3">
        <f t="shared" si="9"/>
        <v>0</v>
      </c>
    </row>
    <row r="85" spans="1:9" ht="17.25" customHeight="1" hidden="1">
      <c r="A85" s="29" t="s">
        <v>30</v>
      </c>
      <c r="B85" s="49"/>
      <c r="C85" s="50"/>
      <c r="D85" s="51"/>
      <c r="E85" s="1" t="e">
        <f>D85/D84*100</f>
        <v>#DIV/0!</v>
      </c>
      <c r="F85" s="1"/>
      <c r="G85" s="1" t="e">
        <f t="shared" si="8"/>
        <v>#DIV/0!</v>
      </c>
      <c r="H85" s="1"/>
      <c r="I85" s="1">
        <f t="shared" si="9"/>
        <v>0</v>
      </c>
    </row>
    <row r="86" spans="1:9" ht="17.25" customHeight="1" hidden="1" thickBot="1">
      <c r="A86" s="29" t="s">
        <v>31</v>
      </c>
      <c r="B86" s="49"/>
      <c r="C86" s="50"/>
      <c r="D86" s="51"/>
      <c r="E86" s="1" t="e">
        <f>D86/D84*100</f>
        <v>#DIV/0!</v>
      </c>
      <c r="F86" s="1"/>
      <c r="G86" s="1" t="e">
        <f t="shared" si="8"/>
        <v>#DIV/0!</v>
      </c>
      <c r="H86" s="1"/>
      <c r="I86" s="1">
        <f t="shared" si="9"/>
        <v>0</v>
      </c>
    </row>
    <row r="87" spans="1:9" ht="19.5" thickBot="1">
      <c r="A87" s="14" t="s">
        <v>10</v>
      </c>
      <c r="B87" s="61">
        <f>34755.2-216.6-183.6-293.2-111.9</f>
        <v>33949.9</v>
      </c>
      <c r="C87" s="53">
        <f>44816.4+146.6</f>
        <v>44963</v>
      </c>
      <c r="D87" s="54">
        <f>3.8+55.8+884+208.9+0.4+11.9+10.3+22.7+60.3+781.1+1004.9+29.9+24.2+11.3+0.5+128.1+69.2+31.5+41.9+1269.3+95.4+24+10.9+543+685.6+565+6.4+0.1+28.5+21.8+0.4+295+102.7+311.9+492.9+445.4+19.5+31.2+0.1+10.4+208.5+270.1+1371.1+5+70.3-0.1+321.6+18.8+8.4+24.1+764.2+651.1+87.3+173.2+28.8+22+63.9+37.6+12.1+33+1586.6+201.5+3+0.2+80.7+49.9+51.1+30.3+25+1482.9+55.9+50+74+114+46+1659.4+98.9+140.3+0.1+100+87.3+42+50+160.9+137.2+146.3+1099.8+11+34.3+69.2+4.9+19.2+12.9+1924.2+24.6+94.4+157.9+27.1+10+29.7+0.1+2.3+0.9+2.4+1230.3+10+5.4+7.5+26+27.9+195.1+89.2+0.1+1960.4+16.7+19.9+71.1+15.6+2.8+1359.9+16+69.8+67.1+1.1+7.5+7.3+1481.4+6.7+86.4+4.2+13.4+5.4+51.1+46.1+1163.9+51.8+29.1+25.9+66.1+23.3+30+5+45.2</f>
        <v>30851.300000000007</v>
      </c>
      <c r="E87" s="3">
        <f>D87/D137*100</f>
        <v>6.909997170940148</v>
      </c>
      <c r="F87" s="3">
        <f aca="true" t="shared" si="10" ref="F87:F92">D87/B87*100</f>
        <v>90.87302171729522</v>
      </c>
      <c r="G87" s="3">
        <f t="shared" si="8"/>
        <v>68.61486110802217</v>
      </c>
      <c r="H87" s="3">
        <f aca="true" t="shared" si="11" ref="H87:H92">B87-D87</f>
        <v>3098.599999999995</v>
      </c>
      <c r="I87" s="3">
        <f t="shared" si="9"/>
        <v>14111.699999999993</v>
      </c>
    </row>
    <row r="88" spans="1:9" ht="18">
      <c r="A88" s="29" t="s">
        <v>3</v>
      </c>
      <c r="B88" s="49">
        <f>29104.5-207.6-146.1-287.3-59.2</f>
        <v>28404.300000000003</v>
      </c>
      <c r="C88" s="50">
        <f>38623.9-611.6</f>
        <v>38012.3</v>
      </c>
      <c r="D88" s="51">
        <f>3.8+55.8+877.5+206+1.6+755.1+834.4+26.6+41.3+1268.7+0.5+8.5+536.6+685.6+565+6.3-0.1+21.4+100.1+302.4+492.5+445.4+29.6+0.1+201.4+262.7+1370.2+24.4-0.1+35.6+18.8+8.4+764.2+651.1+17.3+9.9+12+37.6+3+1586.6+20.4+1318.5+14.1+1654.4+83.7+12.9+128.8+146+1098.6+59.1+0.2+1924.2-0.1+72.6+157.9+27.1+28.5+1193.9+4.4+9.2+7.5+1960.4-0.3+12.2+71.1+1349.8+3.1+1481.4+24.8+12.2+5.4+1162.1+1.8</f>
        <v>26313.7</v>
      </c>
      <c r="E88" s="1">
        <f>D88/D87*100</f>
        <v>85.29202983342678</v>
      </c>
      <c r="F88" s="1">
        <f t="shared" si="10"/>
        <v>92.6398467837616</v>
      </c>
      <c r="G88" s="1">
        <f t="shared" si="8"/>
        <v>69.22417217584834</v>
      </c>
      <c r="H88" s="1">
        <f t="shared" si="11"/>
        <v>2090.600000000002</v>
      </c>
      <c r="I88" s="1">
        <f t="shared" si="9"/>
        <v>11698.600000000002</v>
      </c>
    </row>
    <row r="89" spans="1:9" ht="18">
      <c r="A89" s="29" t="s">
        <v>33</v>
      </c>
      <c r="B89" s="49">
        <f>1400.8-8.9-37.5-5.9-52.7</f>
        <v>1295.7999999999997</v>
      </c>
      <c r="C89" s="50">
        <f>1866.3+51.3</f>
        <v>1917.6</v>
      </c>
      <c r="D89" s="51">
        <f>125+55.5+51.3+1.7-0.1+10.4+5.3+280.6+162.7+2.2+25.3+117.8+56.8+64.4+1.4+31+7.8+37.2+1.9+36.4+8.8+1+3.9+10.1+30.1+1.8+10.7+4.2+23.3</f>
        <v>1168.5</v>
      </c>
      <c r="E89" s="1">
        <f>D89/D87*100</f>
        <v>3.787522729998411</v>
      </c>
      <c r="F89" s="1">
        <f t="shared" si="10"/>
        <v>90.17595307917891</v>
      </c>
      <c r="G89" s="1">
        <f t="shared" si="8"/>
        <v>60.93554443053818</v>
      </c>
      <c r="H89" s="1">
        <f t="shared" si="11"/>
        <v>127.29999999999973</v>
      </c>
      <c r="I89" s="1">
        <f t="shared" si="9"/>
        <v>749.0999999999999</v>
      </c>
    </row>
    <row r="90" spans="1:9" ht="18" hidden="1">
      <c r="A90" s="29" t="s">
        <v>15</v>
      </c>
      <c r="B90" s="49"/>
      <c r="C90" s="50"/>
      <c r="D90" s="50"/>
      <c r="E90" s="12">
        <f>D90/D87*100</f>
        <v>0</v>
      </c>
      <c r="F90" s="1"/>
      <c r="G90" s="1" t="e">
        <f t="shared" si="8"/>
        <v>#DIV/0!</v>
      </c>
      <c r="H90" s="1">
        <f t="shared" si="11"/>
        <v>0</v>
      </c>
      <c r="I90" s="1">
        <f t="shared" si="9"/>
        <v>0</v>
      </c>
    </row>
    <row r="91" spans="1:9" ht="18.75" thickBot="1">
      <c r="A91" s="29" t="s">
        <v>35</v>
      </c>
      <c r="B91" s="50">
        <f>B87-B88-B89-B90</f>
        <v>4249.799999999999</v>
      </c>
      <c r="C91" s="50">
        <f>C87-C88-C89-C90</f>
        <v>5033.099999999997</v>
      </c>
      <c r="D91" s="50">
        <f>D87-D88-D89-D90</f>
        <v>3369.100000000006</v>
      </c>
      <c r="E91" s="1">
        <f>D91/D87*100</f>
        <v>10.920447436574813</v>
      </c>
      <c r="F91" s="1">
        <f t="shared" si="10"/>
        <v>79.27667184338102</v>
      </c>
      <c r="G91" s="1">
        <f>D91/C91*100</f>
        <v>66.93886471558301</v>
      </c>
      <c r="H91" s="1">
        <f t="shared" si="11"/>
        <v>880.6999999999935</v>
      </c>
      <c r="I91" s="1">
        <f>C91-D91</f>
        <v>1663.999999999991</v>
      </c>
    </row>
    <row r="92" spans="1:9" ht="19.5" thickBot="1">
      <c r="A92" s="14" t="s">
        <v>12</v>
      </c>
      <c r="B92" s="61">
        <v>34302.7</v>
      </c>
      <c r="C92" s="72">
        <f>39290.3+3989.1-27</f>
        <v>43252.4</v>
      </c>
      <c r="D92" s="54">
        <f>2618.9+2514.7+108.2+3415.7+1160.5+185.2+4.1+84.7+287.5+200+100+150+100+100+200+100+100+200+130+350+114+133.6+100+100+42.6+152.4+200+150+76.7+100+150+250+150+100+138.2+500+200+200+449.8+122.1+101.5+141.9+350+100+98.7+150+200-0.1+366+100+134.5+400+100+87+352.2+50+252.1+100+200+280+200+300+150+50+142.3+256.7+50+292.2+200+300+200+200+39.2+150+201.3+152.3+100+150+284.1+175.2+100+100+251+300+150+250+155.5+100+800+200+114.6</f>
        <v>25217.100000000002</v>
      </c>
      <c r="E92" s="3">
        <f>D92/D137*100</f>
        <v>5.6480631175773715</v>
      </c>
      <c r="F92" s="3">
        <f t="shared" si="10"/>
        <v>73.5134552090652</v>
      </c>
      <c r="G92" s="3">
        <f>D92/C92*100</f>
        <v>58.30219825951855</v>
      </c>
      <c r="H92" s="3">
        <f t="shared" si="11"/>
        <v>9085.599999999995</v>
      </c>
      <c r="I92" s="3">
        <f>C92-D92</f>
        <v>18035.3</v>
      </c>
    </row>
    <row r="93" spans="1:9" ht="8.25" customHeight="1" thickBot="1">
      <c r="A93" s="32"/>
      <c r="B93" s="73"/>
      <c r="C93" s="74"/>
      <c r="D93" s="75"/>
      <c r="E93" s="15"/>
      <c r="F93" s="6"/>
      <c r="G93" s="6"/>
      <c r="H93" s="6"/>
      <c r="I93" s="6"/>
    </row>
    <row r="94" spans="1:9" ht="19.5" hidden="1" thickBot="1">
      <c r="A94" s="33" t="s">
        <v>46</v>
      </c>
      <c r="B94" s="76"/>
      <c r="C94" s="77"/>
      <c r="D94" s="78"/>
      <c r="E94" s="3">
        <f>D94/D137*100</f>
        <v>0</v>
      </c>
      <c r="F94" s="3"/>
      <c r="G94" s="3" t="e">
        <f>D94/C94*100</f>
        <v>#DIV/0!</v>
      </c>
      <c r="H94" s="3"/>
      <c r="I94" s="3">
        <f>C94-D94</f>
        <v>0</v>
      </c>
    </row>
    <row r="95" spans="1:9" ht="5.25" customHeight="1" hidden="1" thickBot="1">
      <c r="A95" s="32"/>
      <c r="B95" s="73"/>
      <c r="C95" s="74"/>
      <c r="D95" s="75"/>
      <c r="E95" s="15"/>
      <c r="F95" s="6"/>
      <c r="G95" s="6"/>
      <c r="H95" s="6"/>
      <c r="I95" s="13"/>
    </row>
    <row r="96" spans="1:9" s="16" customFormat="1" ht="36" customHeight="1" hidden="1" thickBot="1">
      <c r="A96" s="14" t="s">
        <v>68</v>
      </c>
      <c r="B96" s="61"/>
      <c r="C96" s="53"/>
      <c r="D96" s="54"/>
      <c r="E96" s="3">
        <f>D96/D137*100</f>
        <v>0</v>
      </c>
      <c r="F96" s="3" t="e">
        <f>D96/B96*100</f>
        <v>#DIV/0!</v>
      </c>
      <c r="G96" s="3" t="e">
        <f>D96/C96*100</f>
        <v>#DIV/0!</v>
      </c>
      <c r="H96" s="3">
        <f>B96-D96</f>
        <v>0</v>
      </c>
      <c r="I96" s="3">
        <f>C96-D96</f>
        <v>0</v>
      </c>
    </row>
    <row r="97" spans="1:9" ht="6.75" customHeight="1" hidden="1" thickBot="1">
      <c r="A97" s="115"/>
      <c r="B97" s="116"/>
      <c r="C97" s="74"/>
      <c r="D97" s="75"/>
      <c r="E97" s="15"/>
      <c r="F97" s="6"/>
      <c r="G97" s="6"/>
      <c r="H97" s="6"/>
      <c r="I97" s="13"/>
    </row>
    <row r="98" spans="1:9" s="44" customFormat="1" ht="19.5" thickBot="1">
      <c r="A98" s="14" t="s">
        <v>11</v>
      </c>
      <c r="B98" s="61">
        <v>4764</v>
      </c>
      <c r="C98" s="106">
        <f>5290.2+873.6</f>
        <v>6163.8</v>
      </c>
      <c r="D98" s="91">
        <f>111.6+19.4+112.6-0.1+0.9+99.9+111.6+6.9+7.2+47.9+73.3+25.9+28.7+425.6+10.7+10.8+95.5+241.7+128.5+184.1+105.5+17.7+1.5+12.7+140+2.5+123.7+119.6+27+29.2+112.9+89.4+83.4+25.6+9.6+151.6+27.2+186.9+4.9+4+23.9+115.6+3.9+14.3+5.6+19.1+99.9+28.6+8.8+4.8+21.5+105.9+41.2+38.7+5.9+3+5.2+40.4+151.6+216.7+17.6+15.4+54+7.7+119.6+15.7</f>
        <v>4202.2</v>
      </c>
      <c r="E98" s="25">
        <f>D98/D137*100</f>
        <v>0.9411982675519243</v>
      </c>
      <c r="F98" s="25">
        <f>D98/B98*100</f>
        <v>88.20738874895045</v>
      </c>
      <c r="G98" s="25">
        <f aca="true" t="shared" si="12" ref="G98:G135">D98/C98*100</f>
        <v>68.1754761672994</v>
      </c>
      <c r="H98" s="25">
        <f aca="true" t="shared" si="13" ref="H98:H103">B98-D98</f>
        <v>561.8000000000002</v>
      </c>
      <c r="I98" s="25">
        <f aca="true" t="shared" si="14" ref="I98:I135">C98-D98</f>
        <v>1961.6000000000004</v>
      </c>
    </row>
    <row r="99" spans="1:9" ht="18">
      <c r="A99" s="92" t="s">
        <v>66</v>
      </c>
      <c r="B99" s="102">
        <v>15.2</v>
      </c>
      <c r="C99" s="100">
        <f>23.5-2.3-6</f>
        <v>15.2</v>
      </c>
      <c r="D99" s="100">
        <f>12.7+2.5</f>
        <v>15.2</v>
      </c>
      <c r="E99" s="96">
        <f>D99/D98*100</f>
        <v>0.36171529198991004</v>
      </c>
      <c r="F99" s="1">
        <f>D99/B99*100</f>
        <v>100</v>
      </c>
      <c r="G99" s="96">
        <f>D99/C99*100</f>
        <v>100</v>
      </c>
      <c r="H99" s="96">
        <f t="shared" si="13"/>
        <v>0</v>
      </c>
      <c r="I99" s="96">
        <f t="shared" si="14"/>
        <v>0</v>
      </c>
    </row>
    <row r="100" spans="1:9" ht="18">
      <c r="A100" s="98" t="s">
        <v>65</v>
      </c>
      <c r="B100" s="82">
        <v>4422.2</v>
      </c>
      <c r="C100" s="51">
        <f>5711.4</f>
        <v>5711.4</v>
      </c>
      <c r="D100" s="51">
        <f>3302.1+5.1+16.7+151+216.3+17.4+13.8+53.7+7.6+119.5+15.5</f>
        <v>3918.7</v>
      </c>
      <c r="E100" s="1">
        <f>D100/D98*100</f>
        <v>93.25353386321451</v>
      </c>
      <c r="F100" s="1">
        <f aca="true" t="shared" si="15" ref="F100:F135">D100/B100*100</f>
        <v>88.61426439328841</v>
      </c>
      <c r="G100" s="1">
        <f t="shared" si="12"/>
        <v>68.61189900899954</v>
      </c>
      <c r="H100" s="1">
        <f t="shared" si="13"/>
        <v>503.5</v>
      </c>
      <c r="I100" s="1">
        <f t="shared" si="14"/>
        <v>1792.6999999999998</v>
      </c>
    </row>
    <row r="101" spans="1:9" ht="54.75" thickBot="1">
      <c r="A101" s="99" t="s">
        <v>107</v>
      </c>
      <c r="B101" s="101">
        <v>260.7</v>
      </c>
      <c r="C101" s="101">
        <v>400.1</v>
      </c>
      <c r="D101" s="101">
        <f>17.7+41.2+3+5.2+16.9+34.4+10.6+13.9+13.1+2.6+3.8</f>
        <v>162.4</v>
      </c>
      <c r="E101" s="97">
        <f>D101/D98*100</f>
        <v>3.8646423302079866</v>
      </c>
      <c r="F101" s="97">
        <f>D101/B101*100</f>
        <v>62.293824319140775</v>
      </c>
      <c r="G101" s="97">
        <f>D101/C101*100</f>
        <v>40.589852536865784</v>
      </c>
      <c r="H101" s="97">
        <f t="shared" si="13"/>
        <v>98.29999999999998</v>
      </c>
      <c r="I101" s="97">
        <f>C101-D101</f>
        <v>237.70000000000002</v>
      </c>
    </row>
    <row r="102" spans="1:9" ht="18.75" thickBot="1">
      <c r="A102" s="99" t="s">
        <v>35</v>
      </c>
      <c r="B102" s="101">
        <f>B98-B99-B100</f>
        <v>326.60000000000036</v>
      </c>
      <c r="C102" s="101">
        <f>C98-C99-C100</f>
        <v>437.2000000000007</v>
      </c>
      <c r="D102" s="101">
        <f>D98-D99-D100</f>
        <v>268.3000000000002</v>
      </c>
      <c r="E102" s="97">
        <f>D102/D98*100</f>
        <v>6.384750844795588</v>
      </c>
      <c r="F102" s="97">
        <f t="shared" si="15"/>
        <v>82.14941824862213</v>
      </c>
      <c r="G102" s="97">
        <f t="shared" si="12"/>
        <v>61.36779505946929</v>
      </c>
      <c r="H102" s="97">
        <f>B102-D102</f>
        <v>58.30000000000018</v>
      </c>
      <c r="I102" s="97">
        <f t="shared" si="14"/>
        <v>168.90000000000055</v>
      </c>
    </row>
    <row r="103" spans="1:9" s="2" customFormat="1" ht="26.25" customHeight="1" thickBot="1">
      <c r="A103" s="93" t="s">
        <v>36</v>
      </c>
      <c r="B103" s="94">
        <f>SUM(B104:B134)-B111-B115+B135-B130-B131-B105-B108-B118-B119</f>
        <v>13219.499999999998</v>
      </c>
      <c r="C103" s="94">
        <f>SUM(C104:C134)-C111-C115+C135-C130-C131-C105-C108-C118-C119</f>
        <v>17184.1</v>
      </c>
      <c r="D103" s="94">
        <f>SUM(D104:D134)-D111-D115+D135-D130-D131-D105-D108-D118-D119</f>
        <v>9850.8</v>
      </c>
      <c r="E103" s="95">
        <f>D103/D137*100</f>
        <v>2.206357596973132</v>
      </c>
      <c r="F103" s="95">
        <f>D103/B103*100</f>
        <v>74.5171905140134</v>
      </c>
      <c r="G103" s="95">
        <f t="shared" si="12"/>
        <v>57.32508539871159</v>
      </c>
      <c r="H103" s="95">
        <f t="shared" si="13"/>
        <v>3368.699999999999</v>
      </c>
      <c r="I103" s="95">
        <f t="shared" si="14"/>
        <v>7333.299999999999</v>
      </c>
    </row>
    <row r="104" spans="1:9" ht="37.5">
      <c r="A104" s="34" t="s">
        <v>69</v>
      </c>
      <c r="B104" s="79">
        <v>892.8</v>
      </c>
      <c r="C104" s="75">
        <f>1869.9-400</f>
        <v>1469.9</v>
      </c>
      <c r="D104" s="80">
        <f>1.4+20.1+85.2+143.2+49+97.4+39.5+2.1+10+69.9+14+22.7+50+22.1+4.6</f>
        <v>631.2</v>
      </c>
      <c r="E104" s="6">
        <f>D104/D103*100</f>
        <v>6.407601413083203</v>
      </c>
      <c r="F104" s="6">
        <f t="shared" si="15"/>
        <v>70.6989247311828</v>
      </c>
      <c r="G104" s="6">
        <f t="shared" si="12"/>
        <v>42.94169671406218</v>
      </c>
      <c r="H104" s="6">
        <f aca="true" t="shared" si="16" ref="H104:H135">B104-D104</f>
        <v>261.5999999999999</v>
      </c>
      <c r="I104" s="6">
        <f t="shared" si="14"/>
        <v>838.7</v>
      </c>
    </row>
    <row r="105" spans="1:9" ht="18">
      <c r="A105" s="29" t="s">
        <v>33</v>
      </c>
      <c r="B105" s="82">
        <v>477</v>
      </c>
      <c r="C105" s="51">
        <f>1242.6+0.7-337</f>
        <v>906.3</v>
      </c>
      <c r="D105" s="83">
        <f>1.4+85.2+143.2+49+2.1+10+14+22.7</f>
        <v>327.6</v>
      </c>
      <c r="E105" s="1"/>
      <c r="F105" s="1">
        <f t="shared" si="15"/>
        <v>68.67924528301887</v>
      </c>
      <c r="G105" s="1">
        <f t="shared" si="12"/>
        <v>36.14697120158888</v>
      </c>
      <c r="H105" s="1">
        <f t="shared" si="16"/>
        <v>149.39999999999998</v>
      </c>
      <c r="I105" s="1">
        <f t="shared" si="14"/>
        <v>578.6999999999999</v>
      </c>
    </row>
    <row r="106" spans="1:9" ht="34.5" customHeight="1">
      <c r="A106" s="17" t="s">
        <v>106</v>
      </c>
      <c r="B106" s="81">
        <v>557.5</v>
      </c>
      <c r="C106" s="68">
        <v>857.5</v>
      </c>
      <c r="D106" s="80">
        <f>4.6</f>
        <v>4.6</v>
      </c>
      <c r="E106" s="6">
        <f>D106/D103*100</f>
        <v>0.04669671498761522</v>
      </c>
      <c r="F106" s="6">
        <f>D106/B106*100</f>
        <v>0.8251121076233183</v>
      </c>
      <c r="G106" s="6">
        <f t="shared" si="12"/>
        <v>0.5364431486880465</v>
      </c>
      <c r="H106" s="6">
        <f t="shared" si="16"/>
        <v>552.9</v>
      </c>
      <c r="I106" s="6">
        <f t="shared" si="14"/>
        <v>852.9</v>
      </c>
    </row>
    <row r="107" spans="1:9" ht="34.5" customHeight="1">
      <c r="A107" s="17" t="s">
        <v>78</v>
      </c>
      <c r="B107" s="81">
        <v>26.4</v>
      </c>
      <c r="C107" s="68">
        <v>36.5</v>
      </c>
      <c r="D107" s="80"/>
      <c r="E107" s="6">
        <f>D107/D103*100</f>
        <v>0</v>
      </c>
      <c r="F107" s="6">
        <f t="shared" si="15"/>
        <v>0</v>
      </c>
      <c r="G107" s="6">
        <f t="shared" si="12"/>
        <v>0</v>
      </c>
      <c r="H107" s="6">
        <f t="shared" si="16"/>
        <v>26.4</v>
      </c>
      <c r="I107" s="6">
        <f t="shared" si="14"/>
        <v>36.5</v>
      </c>
    </row>
    <row r="108" spans="1:9" ht="18" hidden="1">
      <c r="A108" s="29" t="s">
        <v>33</v>
      </c>
      <c r="B108" s="82"/>
      <c r="C108" s="51"/>
      <c r="D108" s="83"/>
      <c r="E108" s="1"/>
      <c r="F108" s="1" t="e">
        <f t="shared" si="15"/>
        <v>#DIV/0!</v>
      </c>
      <c r="G108" s="1" t="e">
        <f t="shared" si="12"/>
        <v>#DIV/0!</v>
      </c>
      <c r="H108" s="1">
        <f t="shared" si="16"/>
        <v>0</v>
      </c>
      <c r="I108" s="1">
        <f t="shared" si="14"/>
        <v>0</v>
      </c>
    </row>
    <row r="109" spans="1:9" ht="37.5">
      <c r="A109" s="17" t="s">
        <v>77</v>
      </c>
      <c r="B109" s="81">
        <v>56.4</v>
      </c>
      <c r="C109" s="68">
        <v>75.5</v>
      </c>
      <c r="D109" s="80">
        <f>5.5+5.5+5.5-0.1+5.5+5.5+5.5+5.5-0.1+5.5</f>
        <v>43.8</v>
      </c>
      <c r="E109" s="6">
        <f>D109/D103*100</f>
        <v>0.4446339383603362</v>
      </c>
      <c r="F109" s="6">
        <f t="shared" si="15"/>
        <v>77.6595744680851</v>
      </c>
      <c r="G109" s="6">
        <f t="shared" si="12"/>
        <v>58.01324503311258</v>
      </c>
      <c r="H109" s="6">
        <f t="shared" si="16"/>
        <v>12.600000000000001</v>
      </c>
      <c r="I109" s="6">
        <f t="shared" si="14"/>
        <v>31.700000000000003</v>
      </c>
    </row>
    <row r="110" spans="1:9" ht="37.5">
      <c r="A110" s="17" t="s">
        <v>47</v>
      </c>
      <c r="B110" s="81">
        <v>782.4</v>
      </c>
      <c r="C110" s="68">
        <v>1050</v>
      </c>
      <c r="D110" s="80">
        <f>149.7+2.5+4.1+81.3+2.1+67.3+8+8.2+93.7+3.3+1.1+74.6+81.4+0.6+75.3+2.1</f>
        <v>655.3</v>
      </c>
      <c r="E110" s="6">
        <f>D110/D103*100</f>
        <v>6.652251593779185</v>
      </c>
      <c r="F110" s="6">
        <f t="shared" si="15"/>
        <v>83.75511247443762</v>
      </c>
      <c r="G110" s="6">
        <f t="shared" si="12"/>
        <v>62.409523809523805</v>
      </c>
      <c r="H110" s="6">
        <f t="shared" si="16"/>
        <v>127.10000000000002</v>
      </c>
      <c r="I110" s="6">
        <f t="shared" si="14"/>
        <v>394.70000000000005</v>
      </c>
    </row>
    <row r="111" spans="1:9" ht="18" hidden="1">
      <c r="A111" s="40" t="s">
        <v>54</v>
      </c>
      <c r="B111" s="82"/>
      <c r="C111" s="51"/>
      <c r="D111" s="83"/>
      <c r="E111" s="6"/>
      <c r="F111" s="6" t="e">
        <f t="shared" si="15"/>
        <v>#DIV/0!</v>
      </c>
      <c r="G111" s="1" t="e">
        <f t="shared" si="12"/>
        <v>#DIV/0!</v>
      </c>
      <c r="H111" s="1">
        <f t="shared" si="16"/>
        <v>0</v>
      </c>
      <c r="I111" s="1">
        <f t="shared" si="14"/>
        <v>0</v>
      </c>
    </row>
    <row r="112" spans="1:9" s="44" customFormat="1" ht="18.75" customHeight="1">
      <c r="A112" s="17" t="s">
        <v>61</v>
      </c>
      <c r="B112" s="81">
        <v>74.5</v>
      </c>
      <c r="C112" s="60">
        <f>51.6+22.9</f>
        <v>74.5</v>
      </c>
      <c r="D112" s="84">
        <f>22.9</f>
        <v>22.9</v>
      </c>
      <c r="E112" s="19">
        <f>D112/D103*100</f>
        <v>0.23246842896008446</v>
      </c>
      <c r="F112" s="6">
        <f t="shared" si="15"/>
        <v>30.738255033557042</v>
      </c>
      <c r="G112" s="19">
        <f t="shared" si="12"/>
        <v>30.738255033557042</v>
      </c>
      <c r="H112" s="19">
        <f t="shared" si="16"/>
        <v>51.6</v>
      </c>
      <c r="I112" s="19">
        <f t="shared" si="14"/>
        <v>51.6</v>
      </c>
    </row>
    <row r="113" spans="1:9" ht="37.5">
      <c r="A113" s="17" t="s">
        <v>60</v>
      </c>
      <c r="B113" s="81">
        <v>168.6</v>
      </c>
      <c r="C113" s="68">
        <f>488.6-250</f>
        <v>238.60000000000002</v>
      </c>
      <c r="D113" s="80">
        <f>4.9+70</f>
        <v>74.9</v>
      </c>
      <c r="E113" s="6">
        <f>D113/D103*100</f>
        <v>0.7603443375157348</v>
      </c>
      <c r="F113" s="6">
        <f>D113/B113*100</f>
        <v>44.4246737841044</v>
      </c>
      <c r="G113" s="6">
        <f t="shared" si="12"/>
        <v>31.391450125733446</v>
      </c>
      <c r="H113" s="6">
        <f t="shared" si="16"/>
        <v>93.69999999999999</v>
      </c>
      <c r="I113" s="6">
        <f t="shared" si="14"/>
        <v>163.70000000000002</v>
      </c>
    </row>
    <row r="114" spans="1:9" s="2" customFormat="1" ht="18.75">
      <c r="A114" s="17" t="s">
        <v>16</v>
      </c>
      <c r="B114" s="81">
        <v>158.3</v>
      </c>
      <c r="C114" s="60">
        <f>153.4+26.9</f>
        <v>180.3</v>
      </c>
      <c r="D114" s="80">
        <f>13.5+13.4+14.3+0.8+6.9+0.4+13.5-0.1+0.8+0.5+2+13.5-0.1+0.1+13.9+0.3+2.4+13.5+0.3+6.3</f>
        <v>116.2</v>
      </c>
      <c r="E114" s="6">
        <f>D114/D103*100</f>
        <v>1.1795996264262802</v>
      </c>
      <c r="F114" s="6">
        <f t="shared" si="15"/>
        <v>73.40492735312696</v>
      </c>
      <c r="G114" s="6">
        <f t="shared" si="12"/>
        <v>64.44814198557958</v>
      </c>
      <c r="H114" s="6">
        <f t="shared" si="16"/>
        <v>42.10000000000001</v>
      </c>
      <c r="I114" s="6">
        <f t="shared" si="14"/>
        <v>64.10000000000001</v>
      </c>
    </row>
    <row r="115" spans="1:9" s="39" customFormat="1" ht="18">
      <c r="A115" s="40" t="s">
        <v>54</v>
      </c>
      <c r="B115" s="82">
        <v>134.7</v>
      </c>
      <c r="C115" s="51">
        <f>121.2+27</f>
        <v>148.2</v>
      </c>
      <c r="D115" s="83">
        <f>13.5+13.4+13.5+13.5+13.4+13.5+13.5</f>
        <v>94.3</v>
      </c>
      <c r="E115" s="1"/>
      <c r="F115" s="1">
        <f t="shared" si="15"/>
        <v>70.00742390497402</v>
      </c>
      <c r="G115" s="1">
        <f t="shared" si="12"/>
        <v>63.63022941970311</v>
      </c>
      <c r="H115" s="1">
        <f t="shared" si="16"/>
        <v>40.39999999999999</v>
      </c>
      <c r="I115" s="1">
        <f t="shared" si="14"/>
        <v>53.89999999999999</v>
      </c>
    </row>
    <row r="116" spans="1:9" s="2" customFormat="1" ht="18.75">
      <c r="A116" s="17" t="s">
        <v>25</v>
      </c>
      <c r="B116" s="81">
        <v>246.7</v>
      </c>
      <c r="C116" s="60">
        <f>86.7+250</f>
        <v>336.7</v>
      </c>
      <c r="D116" s="80"/>
      <c r="E116" s="6">
        <f>D116/D103*100</f>
        <v>0</v>
      </c>
      <c r="F116" s="6">
        <f t="shared" si="15"/>
        <v>0</v>
      </c>
      <c r="G116" s="6">
        <f t="shared" si="12"/>
        <v>0</v>
      </c>
      <c r="H116" s="6">
        <f t="shared" si="16"/>
        <v>246.7</v>
      </c>
      <c r="I116" s="6">
        <f t="shared" si="14"/>
        <v>336.7</v>
      </c>
    </row>
    <row r="117" spans="1:9" s="2" customFormat="1" ht="21.75" customHeight="1">
      <c r="A117" s="17" t="s">
        <v>45</v>
      </c>
      <c r="B117" s="81">
        <v>614.7</v>
      </c>
      <c r="C117" s="60">
        <f>94.7+700</f>
        <v>794.7</v>
      </c>
      <c r="D117" s="84">
        <f>16.2+3.7+20.7+6.7</f>
        <v>47.3</v>
      </c>
      <c r="E117" s="19">
        <f>D117/D103*100</f>
        <v>0.4801640475900435</v>
      </c>
      <c r="F117" s="6">
        <f t="shared" si="15"/>
        <v>7.694810476655278</v>
      </c>
      <c r="G117" s="6">
        <f t="shared" si="12"/>
        <v>5.9519315464955325</v>
      </c>
      <c r="H117" s="6">
        <f t="shared" si="16"/>
        <v>567.4000000000001</v>
      </c>
      <c r="I117" s="6">
        <f t="shared" si="14"/>
        <v>747.4000000000001</v>
      </c>
    </row>
    <row r="118" spans="1:9" s="117" customFormat="1" ht="18">
      <c r="A118" s="29" t="s">
        <v>108</v>
      </c>
      <c r="B118" s="82">
        <v>70</v>
      </c>
      <c r="C118" s="51">
        <v>70</v>
      </c>
      <c r="D118" s="80"/>
      <c r="E118" s="6"/>
      <c r="F118" s="1">
        <f>D118/B118*100</f>
        <v>0</v>
      </c>
      <c r="G118" s="1">
        <f t="shared" si="12"/>
        <v>0</v>
      </c>
      <c r="H118" s="1">
        <f t="shared" si="16"/>
        <v>70</v>
      </c>
      <c r="I118" s="1">
        <f t="shared" si="14"/>
        <v>70</v>
      </c>
    </row>
    <row r="119" spans="1:9" s="117" customFormat="1" ht="18">
      <c r="A119" s="29" t="s">
        <v>66</v>
      </c>
      <c r="B119" s="82">
        <v>9.7</v>
      </c>
      <c r="C119" s="51">
        <v>9.7</v>
      </c>
      <c r="D119" s="83">
        <f>6.2</f>
        <v>6.2</v>
      </c>
      <c r="E119" s="6"/>
      <c r="F119" s="1">
        <f>D119/B119*100</f>
        <v>63.917525773195884</v>
      </c>
      <c r="G119" s="1">
        <f t="shared" si="12"/>
        <v>63.917525773195884</v>
      </c>
      <c r="H119" s="1">
        <f t="shared" si="16"/>
        <v>3.499999999999999</v>
      </c>
      <c r="I119" s="1">
        <f t="shared" si="14"/>
        <v>3.499999999999999</v>
      </c>
    </row>
    <row r="120" spans="1:9" s="2" customFormat="1" ht="37.5">
      <c r="A120" s="17" t="s">
        <v>49</v>
      </c>
      <c r="B120" s="81">
        <v>1643.4</v>
      </c>
      <c r="C120" s="60">
        <v>1700.1</v>
      </c>
      <c r="D120" s="84">
        <f>196.6+25+11.8+12.7+6.1+3.1+261.8+113.5+10.8</f>
        <v>641.4</v>
      </c>
      <c r="E120" s="19">
        <f>D120/D103*100</f>
        <v>6.511146302838348</v>
      </c>
      <c r="F120" s="6">
        <f t="shared" si="15"/>
        <v>39.02884264330047</v>
      </c>
      <c r="G120" s="6">
        <f t="shared" si="12"/>
        <v>37.72719251808717</v>
      </c>
      <c r="H120" s="6">
        <f t="shared" si="16"/>
        <v>1002.0000000000001</v>
      </c>
      <c r="I120" s="6">
        <f t="shared" si="14"/>
        <v>1058.6999999999998</v>
      </c>
    </row>
    <row r="121" spans="1:9" s="2" customFormat="1" ht="56.25">
      <c r="A121" s="17" t="s">
        <v>56</v>
      </c>
      <c r="B121" s="81">
        <v>151.3</v>
      </c>
      <c r="C121" s="60">
        <f>157.1+1.2</f>
        <v>158.29999999999998</v>
      </c>
      <c r="D121" s="84">
        <f>3.8+0.6</f>
        <v>4.3999999999999995</v>
      </c>
      <c r="E121" s="19">
        <f>D121/D103*100</f>
        <v>0.044666423031631944</v>
      </c>
      <c r="F121" s="6">
        <f t="shared" si="15"/>
        <v>2.9081295439524117</v>
      </c>
      <c r="G121" s="6">
        <f t="shared" si="12"/>
        <v>2.779532533164877</v>
      </c>
      <c r="H121" s="6">
        <f t="shared" si="16"/>
        <v>146.9</v>
      </c>
      <c r="I121" s="6">
        <f t="shared" si="14"/>
        <v>153.89999999999998</v>
      </c>
    </row>
    <row r="122" spans="1:9" s="2" customFormat="1" ht="57" customHeight="1" hidden="1">
      <c r="A122" s="17" t="s">
        <v>73</v>
      </c>
      <c r="B122" s="81"/>
      <c r="C122" s="60"/>
      <c r="D122" s="84"/>
      <c r="E122" s="19">
        <f>D122/D103*100</f>
        <v>0</v>
      </c>
      <c r="F122" s="6" t="e">
        <f t="shared" si="15"/>
        <v>#DIV/0!</v>
      </c>
      <c r="G122" s="6" t="e">
        <f t="shared" si="12"/>
        <v>#DIV/0!</v>
      </c>
      <c r="H122" s="6">
        <f t="shared" si="16"/>
        <v>0</v>
      </c>
      <c r="I122" s="6">
        <f t="shared" si="14"/>
        <v>0</v>
      </c>
    </row>
    <row r="123" spans="1:9" s="2" customFormat="1" ht="18.75">
      <c r="A123" s="17" t="s">
        <v>59</v>
      </c>
      <c r="B123" s="81">
        <v>50</v>
      </c>
      <c r="C123" s="60">
        <v>50</v>
      </c>
      <c r="D123" s="84">
        <f>16.8+4.6+2.6+2.5+4.9+4.9+7.6+5.3</f>
        <v>49.199999999999996</v>
      </c>
      <c r="E123" s="19">
        <f>D123/D103*100</f>
        <v>0.4994518211718845</v>
      </c>
      <c r="F123" s="6">
        <f t="shared" si="15"/>
        <v>98.39999999999999</v>
      </c>
      <c r="G123" s="6">
        <f t="shared" si="12"/>
        <v>98.39999999999999</v>
      </c>
      <c r="H123" s="6">
        <f t="shared" si="16"/>
        <v>0.8000000000000043</v>
      </c>
      <c r="I123" s="6">
        <f t="shared" si="14"/>
        <v>0.8000000000000043</v>
      </c>
    </row>
    <row r="124" spans="1:9" s="2" customFormat="1" ht="37.5">
      <c r="A124" s="17" t="s">
        <v>81</v>
      </c>
      <c r="B124" s="81">
        <v>84.7</v>
      </c>
      <c r="C124" s="60">
        <v>84.7</v>
      </c>
      <c r="D124" s="84">
        <f>18.3+9.7+14.1</f>
        <v>42.1</v>
      </c>
      <c r="E124" s="19">
        <f>D124/D103*100</f>
        <v>0.42737645673447844</v>
      </c>
      <c r="F124" s="6">
        <f t="shared" si="15"/>
        <v>49.70484061393152</v>
      </c>
      <c r="G124" s="6">
        <f t="shared" si="12"/>
        <v>49.70484061393152</v>
      </c>
      <c r="H124" s="6">
        <f t="shared" si="16"/>
        <v>42.6</v>
      </c>
      <c r="I124" s="6">
        <f t="shared" si="14"/>
        <v>42.6</v>
      </c>
    </row>
    <row r="125" spans="1:9" s="2" customFormat="1" ht="18.75">
      <c r="A125" s="17" t="s">
        <v>75</v>
      </c>
      <c r="B125" s="81">
        <v>150.2</v>
      </c>
      <c r="C125" s="60">
        <v>178.8</v>
      </c>
      <c r="D125" s="84">
        <f>7.2+1.4+9.3+6.8+7.7+4.3+1.8+6+21.8+13.1+2.5+17+2.4+20.7+0.2</f>
        <v>122.2</v>
      </c>
      <c r="E125" s="19">
        <f>D125/D103*100</f>
        <v>1.2405083851057783</v>
      </c>
      <c r="F125" s="6">
        <f t="shared" si="15"/>
        <v>81.35818908122504</v>
      </c>
      <c r="G125" s="6">
        <f t="shared" si="12"/>
        <v>68.34451901565996</v>
      </c>
      <c r="H125" s="6">
        <f t="shared" si="16"/>
        <v>27.999999999999986</v>
      </c>
      <c r="I125" s="6">
        <f t="shared" si="14"/>
        <v>56.60000000000001</v>
      </c>
    </row>
    <row r="126" spans="1:9" s="2" customFormat="1" ht="35.25" customHeight="1">
      <c r="A126" s="17" t="s">
        <v>74</v>
      </c>
      <c r="B126" s="81">
        <v>43.3</v>
      </c>
      <c r="C126" s="60">
        <v>67.6</v>
      </c>
      <c r="D126" s="84">
        <f>0.5+1.5+0.1+14.8</f>
        <v>16.900000000000002</v>
      </c>
      <c r="E126" s="19">
        <f>D126/D103*100</f>
        <v>0.17155967028058638</v>
      </c>
      <c r="F126" s="6">
        <f t="shared" si="15"/>
        <v>39.030023094688225</v>
      </c>
      <c r="G126" s="6">
        <f t="shared" si="12"/>
        <v>25.000000000000007</v>
      </c>
      <c r="H126" s="6">
        <f t="shared" si="16"/>
        <v>26.399999999999995</v>
      </c>
      <c r="I126" s="6">
        <f t="shared" si="14"/>
        <v>50.69999999999999</v>
      </c>
    </row>
    <row r="127" spans="1:9" s="2" customFormat="1" ht="35.25" customHeight="1">
      <c r="A127" s="17" t="s">
        <v>76</v>
      </c>
      <c r="B127" s="81">
        <v>60</v>
      </c>
      <c r="C127" s="60">
        <v>60</v>
      </c>
      <c r="D127" s="84"/>
      <c r="E127" s="19">
        <f>D127/D103*100</f>
        <v>0</v>
      </c>
      <c r="F127" s="6">
        <f t="shared" si="15"/>
        <v>0</v>
      </c>
      <c r="G127" s="6">
        <f t="shared" si="12"/>
        <v>0</v>
      </c>
      <c r="H127" s="6">
        <f t="shared" si="16"/>
        <v>60</v>
      </c>
      <c r="I127" s="6">
        <f t="shared" si="14"/>
        <v>60</v>
      </c>
    </row>
    <row r="128" spans="1:9" s="2" customFormat="1" ht="18.75">
      <c r="A128" s="17" t="s">
        <v>101</v>
      </c>
      <c r="B128" s="81">
        <v>45.4</v>
      </c>
      <c r="C128" s="60">
        <f>115-64.6</f>
        <v>50.400000000000006</v>
      </c>
      <c r="D128" s="84"/>
      <c r="E128" s="19">
        <f>D128/D103*100</f>
        <v>0</v>
      </c>
      <c r="F128" s="6">
        <f t="shared" si="15"/>
        <v>0</v>
      </c>
      <c r="G128" s="6">
        <f>D128/C128*100</f>
        <v>0</v>
      </c>
      <c r="H128" s="6">
        <f t="shared" si="16"/>
        <v>45.4</v>
      </c>
      <c r="I128" s="6">
        <f t="shared" si="14"/>
        <v>50.400000000000006</v>
      </c>
    </row>
    <row r="129" spans="1:9" s="2" customFormat="1" ht="18.75">
      <c r="A129" s="17" t="s">
        <v>32</v>
      </c>
      <c r="B129" s="81">
        <v>655.1</v>
      </c>
      <c r="C129" s="60">
        <v>868.2</v>
      </c>
      <c r="D129" s="84">
        <f>21.4+1.2+34.6+22.6+3.4+31.2+5.1+22.6+3+44.8+0.2+32.7+27.3+30.6+3.7+29.7+4.3+33.6+0.1+0.1+6.3+25.5+0.4+38.4+0.1+0.3+0.6+29.7+0.1+36.6+5.6+24.5+3.6+36.9+0.1+40+14.7+5</f>
        <v>620.6000000000003</v>
      </c>
      <c r="E129" s="19">
        <f>D129/D103*100</f>
        <v>6.299995939416091</v>
      </c>
      <c r="F129" s="6">
        <f t="shared" si="15"/>
        <v>94.73362845367123</v>
      </c>
      <c r="G129" s="6">
        <f t="shared" si="12"/>
        <v>71.48122552407283</v>
      </c>
      <c r="H129" s="6">
        <f t="shared" si="16"/>
        <v>34.49999999999977</v>
      </c>
      <c r="I129" s="6">
        <f t="shared" si="14"/>
        <v>247.5999999999998</v>
      </c>
    </row>
    <row r="130" spans="1:9" s="39" customFormat="1" ht="18">
      <c r="A130" s="40" t="s">
        <v>54</v>
      </c>
      <c r="B130" s="82">
        <v>566.1</v>
      </c>
      <c r="C130" s="51">
        <v>747.1</v>
      </c>
      <c r="D130" s="83">
        <f>21.4+1.2+34.6+22.6+31.2+22.6+44.8+0.2+32.7+30.6+29.7+33.6+24.3+38.4+29.7+36.6+5.6+24.5+36.9+39.8</f>
        <v>541</v>
      </c>
      <c r="E130" s="1">
        <f>D130/D129*100</f>
        <v>87.17370286819204</v>
      </c>
      <c r="F130" s="1">
        <f>D130/B130*100</f>
        <v>95.5661543896838</v>
      </c>
      <c r="G130" s="1">
        <f t="shared" si="12"/>
        <v>72.4133315486548</v>
      </c>
      <c r="H130" s="1">
        <f t="shared" si="16"/>
        <v>25.100000000000023</v>
      </c>
      <c r="I130" s="1">
        <f t="shared" si="14"/>
        <v>206.10000000000002</v>
      </c>
    </row>
    <row r="131" spans="1:9" s="39" customFormat="1" ht="18">
      <c r="A131" s="29" t="s">
        <v>33</v>
      </c>
      <c r="B131" s="82">
        <v>13.1</v>
      </c>
      <c r="C131" s="51">
        <f>27.4-3</f>
        <v>24.4</v>
      </c>
      <c r="D131" s="83">
        <f>3.4+3+2.7+1.6-0.1+0.1+0.1+0.1+0.1</f>
        <v>11</v>
      </c>
      <c r="E131" s="1">
        <f>D131/D129*100</f>
        <v>1.7724782468578788</v>
      </c>
      <c r="F131" s="1">
        <f>D131/B131*100</f>
        <v>83.96946564885496</v>
      </c>
      <c r="G131" s="1">
        <f>D131/C131*100</f>
        <v>45.08196721311475</v>
      </c>
      <c r="H131" s="1">
        <f t="shared" si="16"/>
        <v>2.0999999999999996</v>
      </c>
      <c r="I131" s="1">
        <f t="shared" si="14"/>
        <v>13.399999999999999</v>
      </c>
    </row>
    <row r="132" spans="1:9" s="2" customFormat="1" ht="18.75">
      <c r="A132" s="17" t="s">
        <v>27</v>
      </c>
      <c r="B132" s="81">
        <v>6282</v>
      </c>
      <c r="C132" s="60">
        <v>8376</v>
      </c>
      <c r="D132" s="84">
        <f>1513.1+580.9+2094+2094</f>
        <v>6282</v>
      </c>
      <c r="E132" s="19">
        <f>D132/D103*100</f>
        <v>63.771470337434536</v>
      </c>
      <c r="F132" s="6">
        <f t="shared" si="15"/>
        <v>100</v>
      </c>
      <c r="G132" s="6">
        <f t="shared" si="12"/>
        <v>75</v>
      </c>
      <c r="H132" s="6">
        <f t="shared" si="16"/>
        <v>0</v>
      </c>
      <c r="I132" s="6">
        <f t="shared" si="14"/>
        <v>2094</v>
      </c>
    </row>
    <row r="133" spans="1:12" s="2" customFormat="1" ht="18.75" customHeight="1">
      <c r="A133" s="17" t="s">
        <v>105</v>
      </c>
      <c r="B133" s="81">
        <v>475.8</v>
      </c>
      <c r="C133" s="60">
        <v>475.8</v>
      </c>
      <c r="D133" s="84">
        <f>90+165.6+35+30+20+35.1+20+40+40.1</f>
        <v>475.80000000000007</v>
      </c>
      <c r="E133" s="19">
        <f>D133/D103*100</f>
        <v>4.830064563284201</v>
      </c>
      <c r="F133" s="114">
        <f>D133/B133*100</f>
        <v>100.00000000000003</v>
      </c>
      <c r="G133" s="6">
        <f t="shared" si="12"/>
        <v>100.00000000000003</v>
      </c>
      <c r="H133" s="6">
        <f t="shared" si="16"/>
        <v>0</v>
      </c>
      <c r="I133" s="6">
        <f t="shared" si="14"/>
        <v>0</v>
      </c>
      <c r="K133" s="45"/>
      <c r="L133" s="45"/>
    </row>
    <row r="134" spans="1:12" s="2" customFormat="1" ht="19.5" customHeight="1" hidden="1">
      <c r="A134" s="17" t="s">
        <v>67</v>
      </c>
      <c r="B134" s="81">
        <v>0</v>
      </c>
      <c r="C134" s="60">
        <v>0</v>
      </c>
      <c r="D134" s="84"/>
      <c r="E134" s="19">
        <f>D134/D103*100</f>
        <v>0</v>
      </c>
      <c r="F134" s="6"/>
      <c r="G134" s="6" t="e">
        <f t="shared" si="12"/>
        <v>#DIV/0!</v>
      </c>
      <c r="H134" s="6">
        <f t="shared" si="16"/>
        <v>0</v>
      </c>
      <c r="I134" s="6">
        <f t="shared" si="14"/>
        <v>0</v>
      </c>
      <c r="K134" s="104"/>
      <c r="L134" s="45"/>
    </row>
    <row r="135" spans="1:12" s="2" customFormat="1" ht="18.75" hidden="1">
      <c r="A135" s="17" t="s">
        <v>62</v>
      </c>
      <c r="B135" s="81"/>
      <c r="C135" s="60"/>
      <c r="D135" s="84"/>
      <c r="E135" s="19">
        <f>D135/D103*100</f>
        <v>0</v>
      </c>
      <c r="F135" s="6" t="e">
        <f t="shared" si="15"/>
        <v>#DIV/0!</v>
      </c>
      <c r="G135" s="6" t="e">
        <f t="shared" si="12"/>
        <v>#DIV/0!</v>
      </c>
      <c r="H135" s="6">
        <f t="shared" si="16"/>
        <v>0</v>
      </c>
      <c r="I135" s="6">
        <f t="shared" si="14"/>
        <v>0</v>
      </c>
      <c r="K135" s="45"/>
      <c r="L135" s="45"/>
    </row>
    <row r="136" spans="1:12" s="2" customFormat="1" ht="19.5" thickBot="1">
      <c r="A136" s="41" t="s">
        <v>37</v>
      </c>
      <c r="B136" s="85">
        <f>B41+B66+B69+B74+B76+B84+B98+B103+B96+B81+B94</f>
        <v>19362.1</v>
      </c>
      <c r="C136" s="85">
        <f>C41+C66+C69+C74+C76+C84+C98+C103+C96+C81+C94</f>
        <v>25028.5</v>
      </c>
      <c r="D136" s="60">
        <f>D41+D66+D69+D74+D76+D84+D98+D103+D96+D81+D94</f>
        <v>14529.8</v>
      </c>
      <c r="E136" s="19"/>
      <c r="F136" s="19"/>
      <c r="G136" s="6"/>
      <c r="H136" s="6"/>
      <c r="I136" s="20"/>
      <c r="K136" s="45"/>
      <c r="L136" s="45"/>
    </row>
    <row r="137" spans="1:12" ht="19.5" thickBot="1">
      <c r="A137" s="14" t="s">
        <v>19</v>
      </c>
      <c r="B137" s="54">
        <f>B6+B17+B31+B41+B49+B56+B66+B69+B74+B76+B84+B87+B92+B98+B103+B96+B81+B94+B43</f>
        <v>495572.9</v>
      </c>
      <c r="C137" s="54">
        <f>C6+C17+C31+C41+C49+C56+C66+C69+C74+C76+C84+C87+C92+C98+C103+C96+C81+C94+C43</f>
        <v>624159.7000000001</v>
      </c>
      <c r="D137" s="54">
        <f>D6+D17+D31+D41+D49+D56+D66+D69+D74+D76+D84+D87+D92+D98+D103+D96+D81+D94+D43</f>
        <v>446473.41000000003</v>
      </c>
      <c r="E137" s="38">
        <v>100</v>
      </c>
      <c r="F137" s="3">
        <f>D137/B137*100</f>
        <v>90.09237793269163</v>
      </c>
      <c r="G137" s="3">
        <f aca="true" t="shared" si="17" ref="G137:G143">D137/C137*100</f>
        <v>71.53191883423425</v>
      </c>
      <c r="H137" s="3">
        <f aca="true" t="shared" si="18" ref="H137:H143">B137-D137</f>
        <v>49099.48999999999</v>
      </c>
      <c r="I137" s="3">
        <f aca="true" t="shared" si="19" ref="I137:I143">C137-D137</f>
        <v>177686.29000000004</v>
      </c>
      <c r="K137" s="46"/>
      <c r="L137" s="47"/>
    </row>
    <row r="138" spans="1:12" ht="18.75">
      <c r="A138" s="23" t="s">
        <v>5</v>
      </c>
      <c r="B138" s="67">
        <f>B7+B18+B32+B50+B57+B88+B111+B115+B44+B130</f>
        <v>356274.9</v>
      </c>
      <c r="C138" s="67">
        <f>C7+C18+C32+C50+C57+C88+C111+C115+C44+C130</f>
        <v>430367.6</v>
      </c>
      <c r="D138" s="67">
        <f>D7+D18+D32+D50+D57+D88+D111+D115+D44+D130</f>
        <v>331151.1999999999</v>
      </c>
      <c r="E138" s="6">
        <f>D138/D137*100</f>
        <v>74.170419241764</v>
      </c>
      <c r="F138" s="6">
        <f aca="true" t="shared" si="20" ref="F138:F149">D138/B138*100</f>
        <v>92.94822621520625</v>
      </c>
      <c r="G138" s="6">
        <f t="shared" si="17"/>
        <v>76.94612698539572</v>
      </c>
      <c r="H138" s="6">
        <f t="shared" si="18"/>
        <v>25123.700000000128</v>
      </c>
      <c r="I138" s="18">
        <f t="shared" si="19"/>
        <v>99216.40000000008</v>
      </c>
      <c r="K138" s="46"/>
      <c r="L138" s="47"/>
    </row>
    <row r="139" spans="1:12" ht="18.75">
      <c r="A139" s="23" t="s">
        <v>0</v>
      </c>
      <c r="B139" s="68">
        <f>B10+B21+B34+B53+B59+B89+B47+B131+B105+B108</f>
        <v>37708.200000000004</v>
      </c>
      <c r="C139" s="68">
        <f>C10+C21+C34+C53+C59+C89+C47+C131+C105+C108</f>
        <v>64582.7</v>
      </c>
      <c r="D139" s="68">
        <f>D10+D21+D34+D53+D59+D89+D47+D131+D105+D108</f>
        <v>35750.59999999999</v>
      </c>
      <c r="E139" s="6">
        <f>D139/D137*100</f>
        <v>8.007330156570799</v>
      </c>
      <c r="F139" s="6">
        <f t="shared" si="20"/>
        <v>94.80855622914906</v>
      </c>
      <c r="G139" s="6">
        <f t="shared" si="17"/>
        <v>55.35631059091675</v>
      </c>
      <c r="H139" s="6">
        <f t="shared" si="18"/>
        <v>1957.600000000013</v>
      </c>
      <c r="I139" s="18">
        <f t="shared" si="19"/>
        <v>28832.100000000006</v>
      </c>
      <c r="K139" s="46"/>
      <c r="L139" s="103"/>
    </row>
    <row r="140" spans="1:12" ht="18.75">
      <c r="A140" s="23" t="s">
        <v>1</v>
      </c>
      <c r="B140" s="67">
        <f>B20+B9+B52+B46+B58+B33+B99+B119</f>
        <v>14748.900000000001</v>
      </c>
      <c r="C140" s="67">
        <f>C20+C9+C52+C46+C58+C33+C99+C119</f>
        <v>20516.600000000002</v>
      </c>
      <c r="D140" s="67">
        <f>D20+D9+D52+D46+D58+D33+D99+D119</f>
        <v>13664.300000000003</v>
      </c>
      <c r="E140" s="6">
        <f>D140/D137*100</f>
        <v>3.060495808697768</v>
      </c>
      <c r="F140" s="6">
        <f t="shared" si="20"/>
        <v>92.646231244364</v>
      </c>
      <c r="G140" s="6">
        <f t="shared" si="17"/>
        <v>66.6011912305158</v>
      </c>
      <c r="H140" s="6">
        <f t="shared" si="18"/>
        <v>1084.5999999999985</v>
      </c>
      <c r="I140" s="18">
        <f t="shared" si="19"/>
        <v>6852.299999999999</v>
      </c>
      <c r="K140" s="46"/>
      <c r="L140" s="47"/>
    </row>
    <row r="141" spans="1:12" ht="21" customHeight="1">
      <c r="A141" s="23" t="s">
        <v>15</v>
      </c>
      <c r="B141" s="67">
        <f>B11+B22+B100+B60+B36+B90</f>
        <v>6469.8</v>
      </c>
      <c r="C141" s="67">
        <f>C11+C22+C100+C60+C36+C90</f>
        <v>8110.4</v>
      </c>
      <c r="D141" s="67">
        <f>D11+D22+D100+D60+D36+D90</f>
        <v>5899.8</v>
      </c>
      <c r="E141" s="6">
        <f>D141/D137*100</f>
        <v>1.3214224784405415</v>
      </c>
      <c r="F141" s="6">
        <f t="shared" si="20"/>
        <v>91.18983585273115</v>
      </c>
      <c r="G141" s="6">
        <f t="shared" si="17"/>
        <v>72.74363779838234</v>
      </c>
      <c r="H141" s="6">
        <f t="shared" si="18"/>
        <v>570</v>
      </c>
      <c r="I141" s="18">
        <f t="shared" si="19"/>
        <v>2210.5999999999995</v>
      </c>
      <c r="K141" s="46"/>
      <c r="L141" s="103"/>
    </row>
    <row r="142" spans="1:12" ht="18.75">
      <c r="A142" s="23" t="s">
        <v>2</v>
      </c>
      <c r="B142" s="67">
        <f>B8+B19+B45+B51+B118</f>
        <v>5928.2</v>
      </c>
      <c r="C142" s="67">
        <f>C8+C19+C45+C51+C118</f>
        <v>7943.900000000001</v>
      </c>
      <c r="D142" s="67">
        <f>D8+D19+D45+D51+D118</f>
        <v>3498.8999999999996</v>
      </c>
      <c r="E142" s="6">
        <f>D142/D137*100</f>
        <v>0.7836748889480337</v>
      </c>
      <c r="F142" s="6">
        <f t="shared" si="20"/>
        <v>59.02128808069903</v>
      </c>
      <c r="G142" s="6">
        <f t="shared" si="17"/>
        <v>44.04511637860496</v>
      </c>
      <c r="H142" s="6">
        <f t="shared" si="18"/>
        <v>2429.3</v>
      </c>
      <c r="I142" s="18">
        <f t="shared" si="19"/>
        <v>4445.000000000001</v>
      </c>
      <c r="K142" s="46"/>
      <c r="L142" s="47"/>
    </row>
    <row r="143" spans="1:12" ht="19.5" thickBot="1">
      <c r="A143" s="23" t="s">
        <v>35</v>
      </c>
      <c r="B143" s="67">
        <f>B137-B138-B139-B140-B141-B142</f>
        <v>74442.9</v>
      </c>
      <c r="C143" s="67">
        <f>C137-C138-C139-C140-C141-C142</f>
        <v>92638.5000000001</v>
      </c>
      <c r="D143" s="67">
        <f>D137-D138-D139-D140-D141-D142</f>
        <v>56508.61000000014</v>
      </c>
      <c r="E143" s="6">
        <f>D143/D137*100</f>
        <v>12.656657425578857</v>
      </c>
      <c r="F143" s="6">
        <f t="shared" si="20"/>
        <v>75.9086628812152</v>
      </c>
      <c r="G143" s="43">
        <f t="shared" si="17"/>
        <v>60.9990554682989</v>
      </c>
      <c r="H143" s="6">
        <f t="shared" si="18"/>
        <v>17934.289999999855</v>
      </c>
      <c r="I143" s="6">
        <f t="shared" si="19"/>
        <v>36129.88999999996</v>
      </c>
      <c r="K143" s="46"/>
      <c r="L143" s="103"/>
    </row>
    <row r="144" spans="1:12" ht="5.25" customHeight="1" thickBot="1">
      <c r="A144" s="35"/>
      <c r="B144" s="86"/>
      <c r="C144" s="87"/>
      <c r="D144" s="87"/>
      <c r="E144" s="21"/>
      <c r="F144" s="21"/>
      <c r="G144" s="21"/>
      <c r="H144" s="21"/>
      <c r="I144" s="22"/>
      <c r="K144" s="46"/>
      <c r="L144" s="46"/>
    </row>
    <row r="145" spans="1:12" ht="18.75">
      <c r="A145" s="32" t="s">
        <v>21</v>
      </c>
      <c r="B145" s="88">
        <v>60641.4</v>
      </c>
      <c r="C145" s="74">
        <f>77971.6-8326.2</f>
        <v>69645.40000000001</v>
      </c>
      <c r="D145" s="74">
        <f>1285.7+343.1+251.2+535+4+1250.9+3+47.1-1+182.9+10.6+2492.6+31+22.3+70.1+288.5+61.4+28+67+8.2+59.1+10.4+80.6+354.8+3.8+68.4+2.6+5.3+24.2+4809.3+1220.5+217.5</f>
        <v>13838.100000000002</v>
      </c>
      <c r="E145" s="15"/>
      <c r="F145" s="6">
        <f t="shared" si="20"/>
        <v>22.819558915196552</v>
      </c>
      <c r="G145" s="6">
        <f aca="true" t="shared" si="21" ref="G145:G154">D145/C145*100</f>
        <v>19.869366821067867</v>
      </c>
      <c r="H145" s="6">
        <f>B145-D145</f>
        <v>46803.3</v>
      </c>
      <c r="I145" s="6">
        <f aca="true" t="shared" si="22" ref="I145:I154">C145-D145</f>
        <v>55807.3</v>
      </c>
      <c r="J145" s="105"/>
      <c r="K145" s="46"/>
      <c r="L145" s="46"/>
    </row>
    <row r="146" spans="1:12" ht="18.75">
      <c r="A146" s="23" t="s">
        <v>22</v>
      </c>
      <c r="B146" s="89">
        <f>22855.7-553</f>
        <v>22302.7</v>
      </c>
      <c r="C146" s="67">
        <f>23644.2-130+4631.1</f>
        <v>28145.300000000003</v>
      </c>
      <c r="D146" s="67">
        <f>2921.3+155.4+1707.9+56.8+14.6+990.8-990.8+14.7+990.8+400.1+597.2+8.8-9.6+18.2+0.4+53.9+92.1+242.6+11.1+67.1</f>
        <v>7343.4000000000015</v>
      </c>
      <c r="E146" s="6"/>
      <c r="F146" s="6">
        <f t="shared" si="20"/>
        <v>32.926058279939205</v>
      </c>
      <c r="G146" s="6">
        <f t="shared" si="21"/>
        <v>26.091034737593844</v>
      </c>
      <c r="H146" s="6">
        <f aca="true" t="shared" si="23" ref="H146:H153">B146-D146</f>
        <v>14959.3</v>
      </c>
      <c r="I146" s="6">
        <f t="shared" si="22"/>
        <v>20801.9</v>
      </c>
      <c r="K146" s="46"/>
      <c r="L146" s="46"/>
    </row>
    <row r="147" spans="1:12" ht="18.75">
      <c r="A147" s="23" t="s">
        <v>63</v>
      </c>
      <c r="B147" s="89">
        <f>75951.1+1677.5</f>
        <v>77628.6</v>
      </c>
      <c r="C147" s="67">
        <f>109130.7-6200+130-3633.3+1677.5</f>
        <v>101104.9</v>
      </c>
      <c r="D147" s="67">
        <f>12373.9+5.2+226.7+32.3+504.2+352+56.1+74.8+164.6+110.4+53.4+5+259.9+35.3+227.9+253.7+8.4+155.5+43.7+293.8+95.9+120+108.2-3.9+2.6+47.3+889.8+308.2-299.5+32.3+665-40+230.5+30+49.3+35.9+22.5+8.3+278+112.5+74.9+109.8-66.2+189.2+321.4+164.4+136+125.5+311.5-4.5</f>
        <v>19291.700000000004</v>
      </c>
      <c r="E147" s="6"/>
      <c r="F147" s="6">
        <f t="shared" si="20"/>
        <v>24.85127903891092</v>
      </c>
      <c r="G147" s="6">
        <f t="shared" si="21"/>
        <v>19.080875407621196</v>
      </c>
      <c r="H147" s="6">
        <f t="shared" si="23"/>
        <v>58336.9</v>
      </c>
      <c r="I147" s="6">
        <f t="shared" si="22"/>
        <v>81813.19999999998</v>
      </c>
      <c r="K147" s="46"/>
      <c r="L147" s="46"/>
    </row>
    <row r="148" spans="1:12" ht="37.5">
      <c r="A148" s="23" t="s">
        <v>72</v>
      </c>
      <c r="B148" s="89">
        <f>7725.4+553-1678.4</f>
        <v>6600</v>
      </c>
      <c r="C148" s="67">
        <f>6200+2078.4-1678.4</f>
        <v>6600</v>
      </c>
      <c r="D148" s="67">
        <f>5500+500+400</f>
        <v>6400</v>
      </c>
      <c r="E148" s="6"/>
      <c r="F148" s="6">
        <f t="shared" si="20"/>
        <v>96.96969696969697</v>
      </c>
      <c r="G148" s="6">
        <f t="shared" si="21"/>
        <v>96.96969696969697</v>
      </c>
      <c r="H148" s="6">
        <f t="shared" si="23"/>
        <v>200</v>
      </c>
      <c r="I148" s="6">
        <f t="shared" si="22"/>
        <v>200</v>
      </c>
      <c r="K148" s="46"/>
      <c r="L148" s="46"/>
    </row>
    <row r="149" spans="1:12" ht="18.75">
      <c r="A149" s="23" t="s">
        <v>13</v>
      </c>
      <c r="B149" s="89">
        <v>15579.5</v>
      </c>
      <c r="C149" s="67">
        <f>8750.7+10716.7</f>
        <v>19467.4</v>
      </c>
      <c r="D149" s="67">
        <f>1079.6+99+23+18.9+98+142.5+46.8+99.4+162.7+67+248.3+33.5+121.9+230+22.3+285.4+115.2+35.8+49.4+183.7+191.3+33.3+185.2+84+58.5+292+106.6</f>
        <v>4113.300000000001</v>
      </c>
      <c r="E149" s="19"/>
      <c r="F149" s="6">
        <f t="shared" si="20"/>
        <v>26.402002631663414</v>
      </c>
      <c r="G149" s="6">
        <f t="shared" si="21"/>
        <v>21.129169791548954</v>
      </c>
      <c r="H149" s="6">
        <f t="shared" si="23"/>
        <v>11466.199999999999</v>
      </c>
      <c r="I149" s="6">
        <f t="shared" si="22"/>
        <v>15354.1</v>
      </c>
      <c r="K149" s="46"/>
      <c r="L149" s="46"/>
    </row>
    <row r="150" spans="1:12" ht="18.75" hidden="1">
      <c r="A150" s="23" t="s">
        <v>26</v>
      </c>
      <c r="B150" s="89"/>
      <c r="C150" s="67"/>
      <c r="D150" s="67"/>
      <c r="E150" s="19"/>
      <c r="F150" s="6" t="e">
        <f>D150/B150*100</f>
        <v>#DIV/0!</v>
      </c>
      <c r="G150" s="6" t="e">
        <f t="shared" si="21"/>
        <v>#DIV/0!</v>
      </c>
      <c r="H150" s="6">
        <f t="shared" si="23"/>
        <v>0</v>
      </c>
      <c r="I150" s="6">
        <f t="shared" si="22"/>
        <v>0</v>
      </c>
      <c r="K150" s="46"/>
      <c r="L150" s="46"/>
    </row>
    <row r="151" spans="1:9" ht="18.75">
      <c r="A151" s="23" t="s">
        <v>53</v>
      </c>
      <c r="B151" s="89">
        <v>968.7</v>
      </c>
      <c r="C151" s="67">
        <f>790+361.2</f>
        <v>1151.2</v>
      </c>
      <c r="D151" s="67">
        <f>371+201.4+67.1+225.1</f>
        <v>864.6</v>
      </c>
      <c r="E151" s="19"/>
      <c r="F151" s="6">
        <f>D151/B151*100</f>
        <v>89.25363889749148</v>
      </c>
      <c r="G151" s="6">
        <f t="shared" si="21"/>
        <v>75.10423905489924</v>
      </c>
      <c r="H151" s="6">
        <f t="shared" si="23"/>
        <v>104.10000000000002</v>
      </c>
      <c r="I151" s="6">
        <f t="shared" si="22"/>
        <v>286.6</v>
      </c>
    </row>
    <row r="152" spans="1:9" ht="19.5" customHeight="1">
      <c r="A152" s="23" t="s">
        <v>70</v>
      </c>
      <c r="B152" s="89">
        <v>1945.7</v>
      </c>
      <c r="C152" s="67">
        <v>1945.7</v>
      </c>
      <c r="D152" s="67">
        <f>1118.3+480</f>
        <v>1598.3</v>
      </c>
      <c r="E152" s="19"/>
      <c r="F152" s="6">
        <f>D152/B152*100</f>
        <v>82.14524335714653</v>
      </c>
      <c r="G152" s="6">
        <f t="shared" si="21"/>
        <v>82.14524335714653</v>
      </c>
      <c r="H152" s="6">
        <f t="shared" si="23"/>
        <v>347.4000000000001</v>
      </c>
      <c r="I152" s="6">
        <f t="shared" si="22"/>
        <v>347.4000000000001</v>
      </c>
    </row>
    <row r="153" spans="1:9" ht="19.5" thickBot="1">
      <c r="A153" s="23" t="s">
        <v>64</v>
      </c>
      <c r="B153" s="89">
        <v>7806.8</v>
      </c>
      <c r="C153" s="90">
        <f>3939.6+4926.7</f>
        <v>8866.3</v>
      </c>
      <c r="D153" s="90">
        <f>95.1+9.9+65+49.9+275.1+44.8+19.5+19.1+33.5+61.7+72.9+34.3+99.3+27.3+72.8+14.7+35.2+85.4+11.5+60.4+184.8+172.3+16.1+13.5-164.2+155.7+143.9+51.2+27.5</f>
        <v>1788.2</v>
      </c>
      <c r="E153" s="24"/>
      <c r="F153" s="6">
        <f>D153/B153*100</f>
        <v>22.90567197827535</v>
      </c>
      <c r="G153" s="6">
        <f t="shared" si="21"/>
        <v>20.168503208779313</v>
      </c>
      <c r="H153" s="6">
        <f t="shared" si="23"/>
        <v>6018.6</v>
      </c>
      <c r="I153" s="6">
        <f t="shared" si="22"/>
        <v>7078.099999999999</v>
      </c>
    </row>
    <row r="154" spans="1:9" ht="19.5" thickBot="1">
      <c r="A154" s="14" t="s">
        <v>20</v>
      </c>
      <c r="B154" s="91">
        <f>B137+B145+B149+B150+B146+B153+B152+B147+B151+B148</f>
        <v>689046.2999999999</v>
      </c>
      <c r="C154" s="91">
        <f>C137+C145+C149+C150+C146+C153+C152+C147+C151+C148</f>
        <v>861085.9000000001</v>
      </c>
      <c r="D154" s="91">
        <f>D137+D145+D149+D150+D146+D153+D152+D147+D151+D148</f>
        <v>501711.01</v>
      </c>
      <c r="E154" s="25"/>
      <c r="F154" s="3">
        <f>D154/B154*100</f>
        <v>72.81237995182617</v>
      </c>
      <c r="G154" s="3">
        <f t="shared" si="21"/>
        <v>58.264919911010026</v>
      </c>
      <c r="H154" s="3">
        <f>B154-D154</f>
        <v>187335.28999999992</v>
      </c>
      <c r="I154" s="3">
        <f t="shared" si="22"/>
        <v>359374.89000000013</v>
      </c>
    </row>
    <row r="155" spans="7:8" ht="12.75">
      <c r="G155" s="26"/>
      <c r="H155" s="26"/>
    </row>
    <row r="156" spans="7:9" ht="12.75">
      <c r="G156" s="26"/>
      <c r="H156" s="26"/>
      <c r="I156" s="26"/>
    </row>
    <row r="157" spans="7:8" ht="12.75">
      <c r="G157" s="26"/>
      <c r="H157" s="26"/>
    </row>
    <row r="158" spans="7:8" ht="12.75">
      <c r="G158" s="26"/>
      <c r="H158" s="26"/>
    </row>
    <row r="159" spans="7:8" ht="12.75">
      <c r="G159" s="26"/>
      <c r="H159" s="26"/>
    </row>
    <row r="160" spans="7:8" ht="12.75">
      <c r="G160" s="26"/>
      <c r="H160" s="26"/>
    </row>
    <row r="161" spans="7:8" ht="12.75">
      <c r="G161" s="26"/>
      <c r="H161" s="26"/>
    </row>
    <row r="162" spans="7:8" ht="12.75">
      <c r="G162" s="26"/>
      <c r="H162" s="26"/>
    </row>
    <row r="163" spans="7:8" ht="12.75">
      <c r="G163" s="26"/>
      <c r="H163" s="26"/>
    </row>
    <row r="164" spans="7:8" ht="12.75">
      <c r="G164" s="26"/>
      <c r="H164" s="26"/>
    </row>
    <row r="165" spans="7:8" ht="12.75">
      <c r="G165" s="26"/>
      <c r="H165" s="26"/>
    </row>
    <row r="166" spans="7:8" ht="12.75">
      <c r="G166" s="26"/>
      <c r="H166" s="26"/>
    </row>
    <row r="167" spans="7:8" ht="12.75">
      <c r="G167" s="26"/>
      <c r="H167" s="26"/>
    </row>
    <row r="168" spans="7:8" ht="12.75">
      <c r="G168" s="26"/>
      <c r="H168" s="26"/>
    </row>
    <row r="169" spans="7:8" ht="12.75">
      <c r="G169" s="26"/>
      <c r="H169" s="26"/>
    </row>
    <row r="170" spans="7:8" ht="12.75">
      <c r="G170" s="26"/>
      <c r="H170" s="26"/>
    </row>
    <row r="171" spans="7:8" ht="12.75">
      <c r="G171" s="26"/>
      <c r="H171" s="26"/>
    </row>
    <row r="172" spans="7:8" ht="12.75">
      <c r="G172" s="26"/>
      <c r="H172" s="26"/>
    </row>
    <row r="173" spans="7:8" ht="12.75">
      <c r="G173" s="26"/>
      <c r="H173" s="26"/>
    </row>
    <row r="174" spans="7:8" ht="12.75">
      <c r="G174" s="26"/>
      <c r="H174" s="26"/>
    </row>
    <row r="175" spans="7:8" ht="12.75">
      <c r="G175" s="26"/>
      <c r="H175" s="26"/>
    </row>
    <row r="176" spans="7:8" ht="12.75">
      <c r="G176" s="26"/>
      <c r="H176" s="26"/>
    </row>
    <row r="177" spans="7:8" ht="12.75">
      <c r="G177" s="26"/>
      <c r="H177" s="26"/>
    </row>
    <row r="178" spans="7:8" ht="12.75">
      <c r="G178" s="26"/>
      <c r="H178" s="26"/>
    </row>
    <row r="179" spans="7:8" ht="12.75">
      <c r="G179" s="26"/>
      <c r="H179" s="26"/>
    </row>
    <row r="180" spans="7:8" ht="12.75">
      <c r="G180" s="26"/>
      <c r="H180" s="26"/>
    </row>
    <row r="181" spans="7:8" ht="12.75">
      <c r="G181" s="26"/>
      <c r="H181" s="26"/>
    </row>
    <row r="182" spans="7:8" ht="12.75">
      <c r="G182" s="26"/>
      <c r="H182" s="26"/>
    </row>
    <row r="183" spans="7:8" ht="12.75">
      <c r="G183" s="26"/>
      <c r="H183" s="26"/>
    </row>
    <row r="184" spans="7:8" ht="12.75">
      <c r="G184" s="26"/>
      <c r="H184" s="26"/>
    </row>
    <row r="185" spans="7:8" ht="12.75">
      <c r="G185" s="26"/>
      <c r="H185" s="26"/>
    </row>
    <row r="186" spans="7:8" ht="12.75">
      <c r="G186" s="26"/>
      <c r="H186" s="26"/>
    </row>
    <row r="187" spans="7:8" ht="12.75">
      <c r="G187" s="26"/>
      <c r="H187" s="26"/>
    </row>
    <row r="188" spans="7:8" ht="12.75">
      <c r="G188" s="26"/>
      <c r="H188" s="26"/>
    </row>
    <row r="189" spans="7:8" ht="12.75">
      <c r="G189" s="26"/>
      <c r="H189" s="26"/>
    </row>
    <row r="190" spans="7:8" ht="12.75">
      <c r="G190" s="26"/>
      <c r="H190" s="26"/>
    </row>
    <row r="191" spans="7:8" ht="12.75">
      <c r="G191" s="26"/>
      <c r="H191" s="26"/>
    </row>
    <row r="192" spans="7:8" ht="12.75">
      <c r="G192" s="26"/>
      <c r="H192" s="26"/>
    </row>
    <row r="193" spans="7:8" ht="12.75">
      <c r="G193" s="26"/>
      <c r="H193" s="26"/>
    </row>
    <row r="194" spans="7:8" ht="12.75">
      <c r="G194" s="26"/>
      <c r="H194" s="26"/>
    </row>
    <row r="195" spans="7:8" ht="12.75">
      <c r="G195" s="26"/>
      <c r="H195" s="26"/>
    </row>
    <row r="196" spans="7:8" ht="12.75">
      <c r="G196" s="26"/>
      <c r="H196" s="26"/>
    </row>
    <row r="197" spans="7:8" ht="12.75">
      <c r="G197" s="26"/>
      <c r="H197" s="26"/>
    </row>
    <row r="198" spans="7:8" ht="12.75">
      <c r="G198" s="26"/>
      <c r="H198" s="26"/>
    </row>
    <row r="199" spans="7:8" ht="12.75">
      <c r="G199" s="26"/>
      <c r="H199" s="26"/>
    </row>
    <row r="200" spans="7:8" ht="12.75">
      <c r="G200" s="26"/>
      <c r="H200" s="26"/>
    </row>
    <row r="201" spans="7:8" ht="12.75">
      <c r="G201" s="26"/>
      <c r="H201" s="26"/>
    </row>
    <row r="202" spans="7:8" ht="12.75">
      <c r="G202" s="26"/>
      <c r="H202" s="26"/>
    </row>
    <row r="203" spans="7:8" ht="12.75">
      <c r="G203" s="26"/>
      <c r="H203" s="26"/>
    </row>
    <row r="204" spans="7:8" ht="12.75">
      <c r="G204" s="26"/>
      <c r="H204" s="26"/>
    </row>
    <row r="205" spans="7:8" ht="12.75">
      <c r="G205" s="26"/>
      <c r="H205" s="26"/>
    </row>
    <row r="206" spans="7:8" ht="12.75">
      <c r="G206" s="26"/>
      <c r="H206" s="26"/>
    </row>
    <row r="207" spans="7:8" ht="12.75">
      <c r="G207" s="26"/>
      <c r="H207" s="26"/>
    </row>
    <row r="208" spans="7:8" ht="12.75">
      <c r="G208" s="26"/>
      <c r="H208" s="26"/>
    </row>
    <row r="209" spans="7:8" ht="12.75">
      <c r="G209" s="26"/>
      <c r="H209" s="26"/>
    </row>
    <row r="210" spans="7:8" ht="12.75">
      <c r="G210" s="26"/>
      <c r="H210" s="26"/>
    </row>
    <row r="211" spans="7:8" ht="12.75">
      <c r="G211" s="26"/>
      <c r="H211" s="26"/>
    </row>
    <row r="212" spans="7:8" ht="12.75">
      <c r="G212" s="26"/>
      <c r="H212" s="26"/>
    </row>
    <row r="213" spans="7:8" ht="12.75">
      <c r="G213" s="26"/>
      <c r="H213" s="26"/>
    </row>
    <row r="214" spans="7:8" ht="12.75">
      <c r="G214" s="26"/>
      <c r="H214" s="26"/>
    </row>
    <row r="215" spans="7:8" ht="12.75">
      <c r="G215" s="26"/>
      <c r="H215" s="26"/>
    </row>
    <row r="216" spans="7:8" ht="12.75">
      <c r="G216" s="26"/>
      <c r="H216" s="26"/>
    </row>
    <row r="217" spans="7:8" ht="12.75">
      <c r="G217" s="26"/>
      <c r="H217" s="26"/>
    </row>
    <row r="218" spans="7:8" ht="12.75">
      <c r="G218" s="26"/>
      <c r="H218" s="26"/>
    </row>
    <row r="219" spans="7:8" ht="12.75">
      <c r="G219" s="26"/>
      <c r="H219" s="26"/>
    </row>
    <row r="220" spans="7:8" ht="12.75">
      <c r="G220" s="26"/>
      <c r="H220" s="26"/>
    </row>
    <row r="221" spans="7:8" ht="12.75">
      <c r="G221" s="26"/>
      <c r="H221" s="26"/>
    </row>
    <row r="222" spans="7:8" ht="12.75">
      <c r="G222" s="26"/>
      <c r="H222" s="26"/>
    </row>
    <row r="223" spans="7:8" ht="12.75">
      <c r="G223" s="26"/>
      <c r="H223" s="26"/>
    </row>
    <row r="224" spans="7:8" ht="12.75">
      <c r="G224" s="26"/>
      <c r="H224" s="26"/>
    </row>
    <row r="225" spans="7:8" ht="12.75">
      <c r="G225" s="26"/>
      <c r="H225" s="26"/>
    </row>
    <row r="226" spans="7:8" ht="12.75">
      <c r="G226" s="26"/>
      <c r="H226" s="26"/>
    </row>
    <row r="227" spans="7:8" ht="12.75">
      <c r="G227" s="26"/>
      <c r="H227" s="26"/>
    </row>
    <row r="228" spans="7:8" ht="12.75">
      <c r="G228" s="26"/>
      <c r="H228" s="26"/>
    </row>
    <row r="229" spans="7:8" ht="12.75">
      <c r="G229" s="26"/>
      <c r="H229" s="26"/>
    </row>
    <row r="230" spans="7:8" ht="12.75">
      <c r="G230" s="26"/>
      <c r="H230" s="26"/>
    </row>
    <row r="231" spans="7:8" ht="12.75">
      <c r="G231" s="26"/>
      <c r="H231" s="26"/>
    </row>
    <row r="232" spans="7:8" ht="12.75">
      <c r="G232" s="26"/>
      <c r="H232" s="26"/>
    </row>
    <row r="233" spans="7:8" ht="12.75">
      <c r="G233" s="26"/>
      <c r="H233" s="26"/>
    </row>
    <row r="234" spans="7:8" ht="12.75">
      <c r="G234" s="26"/>
      <c r="H234" s="26"/>
    </row>
    <row r="235" spans="7:8" ht="12.75">
      <c r="G235" s="26"/>
      <c r="H235" s="26"/>
    </row>
    <row r="236" spans="7:8" ht="12.75">
      <c r="G236" s="26"/>
      <c r="H236" s="26"/>
    </row>
    <row r="237" spans="7:8" ht="12.75">
      <c r="G237" s="26"/>
      <c r="H237" s="26"/>
    </row>
    <row r="238" spans="7:8" ht="12.75">
      <c r="G238" s="26"/>
      <c r="H238" s="26"/>
    </row>
    <row r="239" spans="7:8" ht="12.75">
      <c r="G239" s="26"/>
      <c r="H239" s="26"/>
    </row>
    <row r="240" spans="7:8" ht="12.75">
      <c r="G240" s="26"/>
      <c r="H240" s="26"/>
    </row>
    <row r="241" spans="7:8" ht="12.75">
      <c r="G241" s="26"/>
      <c r="H241" s="26"/>
    </row>
    <row r="242" spans="7:8" ht="12.75">
      <c r="G242" s="26"/>
      <c r="H242" s="26"/>
    </row>
    <row r="243" spans="7:8" ht="12.75">
      <c r="G243" s="26"/>
      <c r="H243" s="26"/>
    </row>
    <row r="244" spans="7:8" ht="12.75">
      <c r="G244" s="26"/>
      <c r="H244" s="26"/>
    </row>
    <row r="245" spans="7:8" ht="12.75">
      <c r="G245" s="26"/>
      <c r="H245" s="26"/>
    </row>
    <row r="246" spans="7:8" ht="12.75">
      <c r="G246" s="26"/>
      <c r="H246" s="26"/>
    </row>
    <row r="247" spans="7:8" ht="12.75">
      <c r="G247" s="26"/>
      <c r="H247" s="26"/>
    </row>
    <row r="248" spans="7:8" ht="12.75">
      <c r="G248" s="26"/>
      <c r="H248" s="26"/>
    </row>
    <row r="249" spans="7:8" ht="12.75">
      <c r="G249" s="26"/>
      <c r="H249" s="26"/>
    </row>
    <row r="250" spans="7:8" ht="12.75">
      <c r="G250" s="26"/>
      <c r="H250" s="26"/>
    </row>
    <row r="251" spans="7:8" ht="12.75">
      <c r="G251" s="26"/>
      <c r="H251" s="26"/>
    </row>
    <row r="252" spans="7:8" ht="12.75">
      <c r="G252" s="26"/>
      <c r="H252" s="26"/>
    </row>
    <row r="253" spans="7:8" ht="12.75">
      <c r="G253" s="26"/>
      <c r="H253" s="26"/>
    </row>
    <row r="254" spans="7:8" ht="12.75">
      <c r="G254" s="26"/>
      <c r="H254" s="26"/>
    </row>
    <row r="255" spans="7:8" ht="12.75">
      <c r="G255" s="26"/>
      <c r="H255" s="26"/>
    </row>
    <row r="256" spans="7:8" ht="12.75">
      <c r="G256" s="26"/>
      <c r="H256" s="26"/>
    </row>
    <row r="257" spans="7:8" ht="12.75">
      <c r="G257" s="26"/>
      <c r="H257" s="26"/>
    </row>
    <row r="258" spans="7:8" ht="12.75">
      <c r="G258" s="26"/>
      <c r="H258" s="26"/>
    </row>
    <row r="259" spans="7:8" ht="12.75">
      <c r="G259" s="26"/>
      <c r="H259" s="26"/>
    </row>
    <row r="260" spans="7:8" ht="12.75">
      <c r="G260" s="26"/>
      <c r="H260" s="26"/>
    </row>
    <row r="261" spans="7:8" ht="12.75">
      <c r="G261" s="26"/>
      <c r="H261" s="26"/>
    </row>
    <row r="262" spans="7:8" ht="12.75">
      <c r="G262" s="26"/>
      <c r="H262" s="26"/>
    </row>
    <row r="263" spans="7:8" ht="12.75">
      <c r="G263" s="26"/>
      <c r="H263" s="26"/>
    </row>
    <row r="264" spans="7:8" ht="12.75">
      <c r="G264" s="26"/>
      <c r="H264" s="26"/>
    </row>
    <row r="265" spans="7:8" ht="12.75">
      <c r="G265" s="26"/>
      <c r="H265" s="26"/>
    </row>
    <row r="266" spans="7:8" ht="12.75">
      <c r="G266" s="26"/>
      <c r="H266" s="26"/>
    </row>
    <row r="267" spans="7:8" ht="12.75">
      <c r="G267" s="26"/>
      <c r="H267" s="26"/>
    </row>
    <row r="268" spans="7:8" ht="12.75">
      <c r="G268" s="26"/>
      <c r="H268" s="26"/>
    </row>
    <row r="269" spans="7:8" ht="12.75">
      <c r="G269" s="26"/>
      <c r="H269" s="26"/>
    </row>
    <row r="270" spans="7:8" ht="12.75">
      <c r="G270" s="26"/>
      <c r="H270" s="26"/>
    </row>
    <row r="271" spans="7:8" ht="12.75">
      <c r="G271" s="26"/>
      <c r="H271" s="26"/>
    </row>
    <row r="272" spans="7:8" ht="12.75">
      <c r="G272" s="26"/>
      <c r="H272" s="26"/>
    </row>
    <row r="273" spans="7:8" ht="12.75">
      <c r="G273" s="26"/>
      <c r="H273" s="26"/>
    </row>
    <row r="274" spans="7:8" ht="12.75">
      <c r="G274" s="26"/>
      <c r="H274" s="26"/>
    </row>
    <row r="275" spans="7:8" ht="12.75">
      <c r="G275" s="26"/>
      <c r="H275" s="26"/>
    </row>
    <row r="276" spans="7:8" ht="12.75">
      <c r="G276" s="26"/>
      <c r="H276" s="26"/>
    </row>
    <row r="277" spans="7:8" ht="12.75">
      <c r="G277" s="26"/>
      <c r="H277" s="26"/>
    </row>
    <row r="278" spans="7:8" ht="12.75">
      <c r="G278" s="26"/>
      <c r="H278" s="26"/>
    </row>
    <row r="279" spans="7:8" ht="12.75">
      <c r="G279" s="26"/>
      <c r="H279" s="26"/>
    </row>
    <row r="280" spans="7:8" ht="12.75">
      <c r="G280" s="26"/>
      <c r="H280" s="26"/>
    </row>
    <row r="281" spans="7:8" ht="12.75">
      <c r="G281" s="26"/>
      <c r="H281" s="26"/>
    </row>
    <row r="282" spans="7:8" ht="12.75">
      <c r="G282" s="26"/>
      <c r="H282" s="26"/>
    </row>
    <row r="283" spans="7:8" ht="12.75">
      <c r="G283" s="26"/>
      <c r="H283" s="26"/>
    </row>
    <row r="284" spans="7:8" ht="12.75">
      <c r="G284" s="26"/>
      <c r="H284" s="26"/>
    </row>
    <row r="285" spans="7:8" ht="12.75">
      <c r="G285" s="26"/>
      <c r="H285" s="26"/>
    </row>
    <row r="286" spans="7:8" ht="12.75">
      <c r="G286" s="26"/>
      <c r="H286" s="26"/>
    </row>
    <row r="287" spans="7:8" ht="12.75">
      <c r="G287" s="26"/>
      <c r="H287" s="26"/>
    </row>
    <row r="288" spans="7:8" ht="12.75">
      <c r="G288" s="26"/>
      <c r="H288" s="26"/>
    </row>
    <row r="289" spans="7:8" ht="12.75">
      <c r="G289" s="26"/>
      <c r="H289" s="26"/>
    </row>
    <row r="290" spans="7:8" ht="12.75">
      <c r="G290" s="26"/>
      <c r="H290" s="26"/>
    </row>
    <row r="291" spans="7:8" ht="12.75">
      <c r="G291" s="26"/>
      <c r="H291" s="26"/>
    </row>
    <row r="292" spans="7:8" ht="12.75">
      <c r="G292" s="26"/>
      <c r="H292" s="26"/>
    </row>
    <row r="293" spans="7:8" ht="12.75">
      <c r="G293" s="26"/>
      <c r="H293" s="26"/>
    </row>
    <row r="294" spans="7:8" ht="12.75">
      <c r="G294" s="26"/>
      <c r="H294" s="26"/>
    </row>
    <row r="295" spans="7:8" ht="12.75">
      <c r="G295" s="26"/>
      <c r="H295" s="26"/>
    </row>
    <row r="296" spans="7:8" ht="12.75">
      <c r="G296" s="26"/>
      <c r="H296" s="26"/>
    </row>
    <row r="297" spans="7:8" ht="12.75">
      <c r="G297" s="26"/>
      <c r="H297" s="26"/>
    </row>
    <row r="298" spans="7:8" ht="12.75">
      <c r="G298" s="26"/>
      <c r="H298" s="26"/>
    </row>
    <row r="299" spans="7:8" ht="12.75">
      <c r="G299" s="26"/>
      <c r="H299" s="26"/>
    </row>
    <row r="300" spans="7:8" ht="12.75">
      <c r="G300" s="26"/>
      <c r="H300" s="26"/>
    </row>
    <row r="301" spans="7:8" ht="12.75">
      <c r="G301" s="26"/>
      <c r="H301" s="26"/>
    </row>
    <row r="302" spans="7:8" ht="12.75">
      <c r="G302" s="26"/>
      <c r="H302" s="26"/>
    </row>
    <row r="303" spans="7:8" ht="12.75">
      <c r="G303" s="26"/>
      <c r="H303" s="26"/>
    </row>
    <row r="304" spans="7:8" ht="12.75">
      <c r="G304" s="26"/>
      <c r="H304" s="26"/>
    </row>
    <row r="305" spans="7:8" ht="12.75">
      <c r="G305" s="26"/>
      <c r="H305" s="26"/>
    </row>
    <row r="306" spans="7:8" ht="12.75">
      <c r="G306" s="26"/>
      <c r="H306" s="26"/>
    </row>
    <row r="307" spans="7:8" ht="12.75">
      <c r="G307" s="26"/>
      <c r="H307" s="26"/>
    </row>
    <row r="308" spans="7:8" ht="12.75">
      <c r="G308" s="26"/>
      <c r="H308" s="26"/>
    </row>
    <row r="309" spans="7:8" ht="12.75">
      <c r="G309" s="26"/>
      <c r="H309" s="26"/>
    </row>
    <row r="310" spans="7:8" ht="12.75">
      <c r="G310" s="26"/>
      <c r="H310" s="26"/>
    </row>
    <row r="311" spans="7:8" ht="12.75">
      <c r="G311" s="26"/>
      <c r="H311" s="26"/>
    </row>
    <row r="312" spans="7:8" ht="12.75">
      <c r="G312" s="26"/>
      <c r="H312" s="26"/>
    </row>
    <row r="313" spans="7:8" ht="12.75">
      <c r="G313" s="26"/>
      <c r="H313" s="26"/>
    </row>
    <row r="314" spans="7:8" ht="12.75">
      <c r="G314" s="26"/>
      <c r="H314" s="26"/>
    </row>
    <row r="315" spans="7:8" ht="12.75">
      <c r="G315" s="26"/>
      <c r="H315" s="26"/>
    </row>
    <row r="316" spans="7:8" ht="12.75">
      <c r="G316" s="26"/>
      <c r="H316" s="26"/>
    </row>
    <row r="317" spans="7:8" ht="12.75">
      <c r="G317" s="26"/>
      <c r="H317" s="26"/>
    </row>
    <row r="318" spans="7:8" ht="12.75">
      <c r="G318" s="26"/>
      <c r="H318" s="26"/>
    </row>
    <row r="319" spans="7:8" ht="12.75">
      <c r="G319" s="26"/>
      <c r="H319" s="26"/>
    </row>
    <row r="320" spans="7:8" ht="12.75">
      <c r="G320" s="26"/>
      <c r="H320" s="26"/>
    </row>
    <row r="321" spans="7:8" ht="12.75">
      <c r="G321" s="26"/>
      <c r="H321" s="26"/>
    </row>
    <row r="322" spans="7:8" ht="12.75">
      <c r="G322" s="26"/>
      <c r="H322" s="26"/>
    </row>
    <row r="323" spans="7:8" ht="12.75">
      <c r="G323" s="26"/>
      <c r="H323" s="26"/>
    </row>
    <row r="324" spans="7:8" ht="12.75">
      <c r="G324" s="26"/>
      <c r="H324" s="26"/>
    </row>
    <row r="325" spans="7:8" ht="12.75">
      <c r="G325" s="26"/>
      <c r="H325" s="26"/>
    </row>
    <row r="326" spans="7:8" ht="12.75">
      <c r="G326" s="26"/>
      <c r="H326" s="26"/>
    </row>
    <row r="327" spans="7:8" ht="12.75">
      <c r="G327" s="26"/>
      <c r="H327" s="26"/>
    </row>
    <row r="328" spans="7:8" ht="12.75">
      <c r="G328" s="26"/>
      <c r="H328" s="26"/>
    </row>
    <row r="329" spans="7:8" ht="12.75">
      <c r="G329" s="26"/>
      <c r="H329" s="26"/>
    </row>
    <row r="330" spans="7:8" ht="12.75">
      <c r="G330" s="26"/>
      <c r="H330" s="26"/>
    </row>
    <row r="331" spans="7:8" ht="12.75">
      <c r="G331" s="26"/>
      <c r="H331" s="26"/>
    </row>
    <row r="332" spans="7:8" ht="12.75">
      <c r="G332" s="26"/>
      <c r="H332" s="26"/>
    </row>
    <row r="333" spans="7:8" ht="12.75">
      <c r="G333" s="26"/>
      <c r="H333" s="26"/>
    </row>
    <row r="334" spans="7:8" ht="12.75">
      <c r="G334" s="26"/>
      <c r="H334" s="26"/>
    </row>
    <row r="335" spans="7:8" ht="12.75">
      <c r="G335" s="26"/>
      <c r="H335" s="26"/>
    </row>
    <row r="336" spans="7:8" ht="12.75">
      <c r="G336" s="26"/>
      <c r="H336" s="26"/>
    </row>
    <row r="337" spans="7:8" ht="12.75">
      <c r="G337" s="26"/>
      <c r="H337" s="26"/>
    </row>
    <row r="338" spans="7:8" ht="12.75">
      <c r="G338" s="26"/>
      <c r="H338" s="26"/>
    </row>
    <row r="339" spans="7:8" ht="12.75">
      <c r="G339" s="26"/>
      <c r="H339" s="26"/>
    </row>
    <row r="340" spans="7:8" ht="12.75">
      <c r="G340" s="26"/>
      <c r="H340" s="26"/>
    </row>
    <row r="341" spans="7:8" ht="12.75">
      <c r="G341" s="26"/>
      <c r="H341" s="26"/>
    </row>
    <row r="342" spans="7:8" ht="12.75">
      <c r="G342" s="26"/>
      <c r="H342" s="26"/>
    </row>
    <row r="343" spans="7:8" ht="12.75">
      <c r="G343" s="26"/>
      <c r="H343" s="26"/>
    </row>
    <row r="344" spans="7:8" ht="12.75">
      <c r="G344" s="26"/>
      <c r="H344" s="26"/>
    </row>
    <row r="345" spans="7:8" ht="12.75">
      <c r="G345" s="26"/>
      <c r="H345" s="26"/>
    </row>
    <row r="346" spans="7:8" ht="12.75">
      <c r="G346" s="26"/>
      <c r="H346" s="26"/>
    </row>
    <row r="347" spans="7:8" ht="12.75">
      <c r="G347" s="26"/>
      <c r="H347" s="26"/>
    </row>
    <row r="348" spans="7:8" ht="12.75">
      <c r="G348" s="26"/>
      <c r="H348" s="26"/>
    </row>
    <row r="349" spans="7:8" ht="12.75">
      <c r="G349" s="26"/>
      <c r="H349" s="26"/>
    </row>
    <row r="350" spans="7:8" ht="12.75">
      <c r="G350" s="26"/>
      <c r="H350" s="26"/>
    </row>
    <row r="351" spans="7:8" ht="12.75">
      <c r="G351" s="26"/>
      <c r="H351" s="26"/>
    </row>
    <row r="352" spans="7:8" ht="12.75">
      <c r="G352" s="26"/>
      <c r="H352" s="26"/>
    </row>
    <row r="353" spans="7:8" ht="12.75">
      <c r="G353" s="26"/>
      <c r="H353" s="26"/>
    </row>
    <row r="354" spans="7:8" ht="12.75">
      <c r="G354" s="26"/>
      <c r="H354" s="26"/>
    </row>
    <row r="355" spans="7:8" ht="12.75">
      <c r="G355" s="26"/>
      <c r="H355" s="26"/>
    </row>
    <row r="356" spans="7:8" ht="12.75">
      <c r="G356" s="26"/>
      <c r="H356" s="26"/>
    </row>
    <row r="357" spans="7:8" ht="12.75">
      <c r="G357" s="26"/>
      <c r="H357" s="26"/>
    </row>
    <row r="358" spans="7:8" ht="12.75">
      <c r="G358" s="26"/>
      <c r="H358" s="26"/>
    </row>
    <row r="359" spans="7:8" ht="12.75">
      <c r="G359" s="26"/>
      <c r="H359" s="26"/>
    </row>
    <row r="360" spans="7:8" ht="12.75">
      <c r="G360" s="26"/>
      <c r="H360" s="26"/>
    </row>
    <row r="361" spans="7:8" ht="12.75">
      <c r="G361" s="26"/>
      <c r="H361" s="26"/>
    </row>
    <row r="362" spans="7:8" ht="12.75">
      <c r="G362" s="26"/>
      <c r="H362" s="26"/>
    </row>
    <row r="363" spans="7:8" ht="12.75">
      <c r="G363" s="26"/>
      <c r="H363" s="26"/>
    </row>
    <row r="364" spans="7:8" ht="12.75">
      <c r="G364" s="26"/>
      <c r="H364" s="26"/>
    </row>
    <row r="365" spans="7:8" ht="12.75">
      <c r="G365" s="26"/>
      <c r="H365" s="26"/>
    </row>
    <row r="366" spans="7:8" ht="12.75">
      <c r="G366" s="26"/>
      <c r="H366" s="26"/>
    </row>
    <row r="367" spans="7:8" ht="12.75">
      <c r="G367" s="26"/>
      <c r="H367" s="26"/>
    </row>
    <row r="368" spans="7:8" ht="12.75">
      <c r="G368" s="26"/>
      <c r="H368" s="26"/>
    </row>
    <row r="369" spans="7:8" ht="12.75">
      <c r="G369" s="26"/>
      <c r="H369" s="26"/>
    </row>
    <row r="370" spans="7:8" ht="12.75">
      <c r="G370" s="26"/>
      <c r="H370" s="26"/>
    </row>
    <row r="371" spans="7:8" ht="12.75">
      <c r="G371" s="26"/>
      <c r="H371" s="26"/>
    </row>
    <row r="372" spans="7:8" ht="12.75">
      <c r="G372" s="26"/>
      <c r="H372" s="26"/>
    </row>
    <row r="373" spans="7:8" ht="12.75">
      <c r="G373" s="26"/>
      <c r="H373" s="26"/>
    </row>
    <row r="374" spans="7:8" ht="12.75">
      <c r="G374" s="26"/>
      <c r="H374" s="26"/>
    </row>
    <row r="375" spans="7:8" ht="12.75">
      <c r="G375" s="26"/>
      <c r="H375" s="26"/>
    </row>
    <row r="376" spans="7:8" ht="12.75">
      <c r="G376" s="26"/>
      <c r="H376" s="26"/>
    </row>
    <row r="377" spans="7:8" ht="12.75">
      <c r="G377" s="26"/>
      <c r="H377" s="26"/>
    </row>
    <row r="378" spans="7:8" ht="12.75">
      <c r="G378" s="26"/>
      <c r="H378" s="26"/>
    </row>
    <row r="379" spans="7:8" ht="12.75">
      <c r="G379" s="26"/>
      <c r="H379" s="26"/>
    </row>
    <row r="380" spans="7:8" ht="12.75">
      <c r="G380" s="26"/>
      <c r="H380" s="26"/>
    </row>
    <row r="381" spans="7:8" ht="12.75">
      <c r="G381" s="26"/>
      <c r="H381" s="26"/>
    </row>
    <row r="382" spans="7:8" ht="12.75">
      <c r="G382" s="26"/>
      <c r="H382" s="26"/>
    </row>
    <row r="383" spans="7:8" ht="12.75">
      <c r="G383" s="26"/>
      <c r="H383" s="26"/>
    </row>
    <row r="384" spans="7:8" ht="12.75">
      <c r="G384" s="26"/>
      <c r="H384" s="26"/>
    </row>
    <row r="385" spans="7:8" ht="12.75">
      <c r="G385" s="26"/>
      <c r="H385" s="26"/>
    </row>
    <row r="386" spans="7:8" ht="12.75">
      <c r="G386" s="26"/>
      <c r="H386" s="26"/>
    </row>
    <row r="387" spans="7:8" ht="12.75">
      <c r="G387" s="26"/>
      <c r="H387" s="26"/>
    </row>
    <row r="388" spans="7:8" ht="12.75">
      <c r="G388" s="26"/>
      <c r="H388" s="26"/>
    </row>
    <row r="389" spans="7:8" ht="12.75">
      <c r="G389" s="26"/>
      <c r="H389" s="26"/>
    </row>
    <row r="390" spans="7:8" ht="12.75">
      <c r="G390" s="26"/>
      <c r="H390" s="26"/>
    </row>
    <row r="391" spans="7:8" ht="12.75">
      <c r="G391" s="26"/>
      <c r="H391" s="26"/>
    </row>
    <row r="392" spans="7:8" ht="12.75">
      <c r="G392" s="26"/>
      <c r="H392" s="26"/>
    </row>
    <row r="393" spans="7:8" ht="12.75">
      <c r="G393" s="26"/>
      <c r="H393" s="26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7:E16">
    <cfRule type="cellIs" priority="1" dxfId="0" operator="lessThan" stopIfTrue="1">
      <formula>0</formula>
    </cfRule>
  </conditionalFormatting>
  <printOptions/>
  <pageMargins left="0.5" right="0.16" top="0.4" bottom="0.34" header="0.32" footer="0.18"/>
  <pageSetup fitToHeight="2" fitToWidth="1" horizontalDpi="600" verticalDpi="600" orientation="portrait" paperSize="9" scale="4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1">
      <selection activeCell="R28" sqref="R28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фінансування'!C137</f>
        <v>624159.7000000001</v>
      </c>
    </row>
    <row r="2" spans="1:5" ht="15.75">
      <c r="A2" s="4"/>
      <c r="B2" s="4"/>
      <c r="C2" s="4"/>
      <c r="D2" s="4" t="s">
        <v>39</v>
      </c>
      <c r="E2" s="5">
        <f>'аналіз фінансування'!D137</f>
        <v>446473.41000000003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22" sqref="Q2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P30" sqref="P3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R20" sqref="R2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5" sqref="R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2" sqref="S2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Q27" sqref="Q2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P30" sqref="P3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21" sqref="R21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фінансування'!C137</f>
        <v>624159.7000000001</v>
      </c>
    </row>
    <row r="2" spans="1:5" ht="15.75">
      <c r="A2" s="4"/>
      <c r="B2" s="4"/>
      <c r="C2" s="4"/>
      <c r="D2" s="4" t="s">
        <v>39</v>
      </c>
      <c r="E2" s="5">
        <f>'аналіз фінансування'!D137</f>
        <v>446473.41000000003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2014-08-29T10:35:36Z</cp:lastPrinted>
  <dcterms:created xsi:type="dcterms:W3CDTF">2000-06-20T04:48:00Z</dcterms:created>
  <dcterms:modified xsi:type="dcterms:W3CDTF">2014-09-26T05:00:18Z</dcterms:modified>
  <cp:category/>
  <cp:version/>
  <cp:contentType/>
  <cp:contentStatus/>
</cp:coreProperties>
</file>